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autoCompressPictures="0"/>
  <mc:AlternateContent xmlns:mc="http://schemas.openxmlformats.org/markup-compatibility/2006">
    <mc:Choice Requires="x15">
      <x15ac:absPath xmlns:x15ac="http://schemas.microsoft.com/office/spreadsheetml/2010/11/ac" url="/Volumes/Aktive Daten/102_SVK-BFE_Kaelte/102.25.04 Kälte-Toool 2025/E Kälte-Tool/Kälte-Tool 6.3 (2025)/"/>
    </mc:Choice>
  </mc:AlternateContent>
  <xr:revisionPtr revIDLastSave="0" documentId="8_{74A976A5-9683-1E48-AFFB-351BA3E0B4B3}" xr6:coauthVersionLast="47" xr6:coauthVersionMax="47" xr10:uidLastSave="{00000000-0000-0000-0000-000000000000}"/>
  <bookViews>
    <workbookView xWindow="2600" yWindow="84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<sst xmlns="http://schemas.openxmlformats.org/spreadsheetml/2006/main" count="3740" uniqueCount="1925">
  <si>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</si>
  <si>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</si>
  <si>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</si>
  <si>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</si>
  <si>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</si>
  <si>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</si>
  <si>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</si>
  <si>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</si>
  <si>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</si>
  <si>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</si>
  <si>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</si>
  <si>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</si>
  <si>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</si>
  <si>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</si>
  <si>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</si>
  <si>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</si>
  <si>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</si>
  <si>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</si>
  <si>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</si>
  <si>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</si>
  <si>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</si>
  <si>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</si>
  <si>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</si>
  <si>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</si>
  <si>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</si>
  <si>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</si>
  <si>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</si>
  <si>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</si>
  <si>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</si>
  <si>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</si>
  <si>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</si>
  <si>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</si>
  <si>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</si>
  <si>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</si>
  <si>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</si>
  <si>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</si>
  <si>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</si>
  <si>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</si>
  <si>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</si>
  <si>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</si>
  <si>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</si>
  <si>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</si>
  <si>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</si>
  <si>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</si>
  <si>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</si>
  <si>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</si>
  <si>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</si>
  <si>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</si>
  <si>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</si>
  <si>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</si>
  <si>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</si>
  <si>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</si>
  <si>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</si>
  <si>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</si>
  <si>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</si>
  <si>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</si>
  <si>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</si>
  <si>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</si>
  <si>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</si>
  <si>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</si>
  <si>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</si>
  <si>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</si>
  <si>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</si>
  <si>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</si>
  <si>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</si>
  <si>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</si>
  <si>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</si>
  <si>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</si>
  <si>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</si>
  <si>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</si>
  <si>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</si>
  <si>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</si>
  <si>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</si>
  <si>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</si>
  <si>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</si>
  <si>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</si>
  <si>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</si>
  <si>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</si>
  <si>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</si>
  <si>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</si>
  <si>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</si>
  <si>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</si>
  <si>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</si>
  <si>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</si>
  <si>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</si>
  <si>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</si>
  <si>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</si>
  <si>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</si>
  <si>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</si>
  <si>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</si>
  <si>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</si>
  <si>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</si>
  <si>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</si>
  <si>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</si>
  <si>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</si>
  <si>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</si>
  <si>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</si>
  <si>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</si>
  <si>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</si>
  <si>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</si>
  <si>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</si>
  <si>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</si>
  <si>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</si>
  <si>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</si>
  <si>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</si>
  <si>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</si>
  <si>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</si>
  <si>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</si>
  <si>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</si>
  <si>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</si>
  <si>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</si>
  <si>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</si>
  <si>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</si>
  <si>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</si>
  <si>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</si>
  <si>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</si>
  <si>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</si>
  <si>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</si>
  <si>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</si>
  <si>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</si>
  <si>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</si>
  <si>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</si>
  <si>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</si>
  <si>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</si>
  <si>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</si>
  <si>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</si>
  <si>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</si>
  <si>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</si>
  <si>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</si>
  <si>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</si>
  <si>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</si>
  <si>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</si>
  <si>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</si>
  <si>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</si>
  <si>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</si>
  <si>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</si>
  <si>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</si>
  <si>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</si>
  <si>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</si>
  <si>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</si>
  <si>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</si>
  <si>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</si>
  <si>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</si>
  <si>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</si>
  <si>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</si>
  <si>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</si>
  <si>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</si>
  <si>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</si>
  <si>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</si>
  <si>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</si>
  <si>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</si>
  <si>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</si>
  <si>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</si>
  <si>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</si>
  <si>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</si>
  <si>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</si>
  <si>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</si>
  <si>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</si>
  <si>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</si>
  <si>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</si>
  <si>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</si>
  <si>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</si>
  <si>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</si>
  <si>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</si>
  <si>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</si>
  <si>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</si>
  <si>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</si>
  <si>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</si>
  <si>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</si>
  <si>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</si>
  <si>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</si>
  <si>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</si>
  <si>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</si>
  <si>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</si>
  <si>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</si>
  <si>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</si>
  <si>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</si>
  <si>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</si>
  <si>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</si>
  <si>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</si>
  <si>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</si>
  <si>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</si>
  <si>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</si>
  <si>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</si>
  <si>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</si>
  <si>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</si>
  <si>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</si>
  <si>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</si>
  <si>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</si>
  <si>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</si>
  <si>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</si>
  <si>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</si>
  <si>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</si>
  <si>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</si>
  <si>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</si>
  <si>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</si>
  <si>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</si>
  <si>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</si>
  <si>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</si>
  <si>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</si>
  <si>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</si>
  <si>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</si>
  <si>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</si>
  <si>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</si>
  <si>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</si>
  <si>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</si>
  <si>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</si>
  <si>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</si>
  <si>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</si>
  <si>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</si>
  <si>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</si>
  <si>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</si>
  <si>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</si>
  <si>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</si>
  <si>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</si>
  <si>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</si>
  <si>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</si>
  <si>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</si>
  <si>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</si>
  <si>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</si>
  <si>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</si>
  <si>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</si>
  <si>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</si>
  <si>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</si>
  <si>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</si>
  <si>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</si>
  <si>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</si>
  <si>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</si>
  <si>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</si>
  <si>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</si>
  <si>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</si>
  <si>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</si>
  <si>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</si>
  <si>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</si>
  <si>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</si>
  <si>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</si>
  <si>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</si>
  <si>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</si>
  <si>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</si>
  <si>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</si>
  <si>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</si>
  <si>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</si>
  <si>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</si>
  <si>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</si>
  <si>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</si>
  <si>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</si>
  <si>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</si>
  <si>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</si>
  <si>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</si>
  <si>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</si>
  <si>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</si>
  <si>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</si>
  <si>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</si>
  <si>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</si>
  <si>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</si>
  <si>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</si>
  <si>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</si>
  <si>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</si>
  <si>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</si>
  <si>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</si>
  <si>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</si>
  <si>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</si>
  <si>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</si>
  <si>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</si>
  <si>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</si>
  <si>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</si>
  <si>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</si>
  <si>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</si>
  <si>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</si>
  <si>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</si>
  <si>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</si>
  <si>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</si>
  <si>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</si>
  <si>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</si>
  <si>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</si>
  <si>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</si>
  <si>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</si>
  <si>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</si>
  <si>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</si>
  <si>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</si>
  <si>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</si>
  <si>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</si>
  <si>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</si>
  <si>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</si>
  <si>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</si>
  <si>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</si>
  <si>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</si>
  <si>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</si>
  <si>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</si>
  <si>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</si>
  <si>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</si>
  <si>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</si>
  <si>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</si>
  <si>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</si>
  <si>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</si>
  <si>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</si>
  <si>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</si>
  <si>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</si>
  <si>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</si>
  <si>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</si>
  <si>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</si>
  <si>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</si>
  <si>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</si>
  <si>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</si>
  <si>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</si>
  <si>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</si>
  <si>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</si>
  <si>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</si>
  <si>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</si>
  <si>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</si>
  <si>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</si>
  <si>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</si>
  <si>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</si>
  <si>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</si>
  <si>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</si>
  <si>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</si>
  <si>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</si>
  <si>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</si>
  <si>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</si>
  <si>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</si>
  <si>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</si>
  <si>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</si>
  <si>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</si>
  <si>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</si>
  <si>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</si>
  <si>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</si>
  <si>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</si>
  <si>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</si>
  <si>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</si>
  <si>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</si>
  <si>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</si>
  <si>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</si>
  <si>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</si>
  <si>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</si>
  <si>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</si>
  <si>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</si>
  <si>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</si>
  <si>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</si>
  <si>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</si>
  <si>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</si>
  <si>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</si>
  <si>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</si>
  <si>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</si>
  <si>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</si>
  <si>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</si>
  <si>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</si>
  <si>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</si>
  <si>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</si>
  <si>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</si>
  <si>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</si>
  <si>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</si>
  <si>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</si>
  <si>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</si>
  <si>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</si>
  <si>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</si>
  <si>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</si>
  <si>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</si>
  <si>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</si>
  <si>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</si>
  <si>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</si>
  <si>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</si>
  <si>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</si>
  <si>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</si>
  <si>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</si>
  <si>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</si>
  <si>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</si>
  <si>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</si>
  <si>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</si>
  <si>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</si>
  <si>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</si>
  <si>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</si>
  <si>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</si>
  <si>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</si>
  <si>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</si>
  <si>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</si>
  <si>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</si>
  <si>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</si>
  <si>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</si>
  <si>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</si>
  <si>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</si>
  <si>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</si>
  <si>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</si>
  <si>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</si>
  <si>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</si>
  <si>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</si>
  <si>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</si>
  <si>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</si>
  <si>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</si>
  <si>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</si>
  <si>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</si>
  <si>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</si>
  <si>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</si>
  <si>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</si>
  <si>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</si>
  <si>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</si>
  <si>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</si>
  <si>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</si>
  <si>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</si>
  <si>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</si>
  <si>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</si>
  <si>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</si>
  <si>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</si>
  <si>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</si>
  <si>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</si>
  <si>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</si>
  <si>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</si>
  <si>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</si>
  <si>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</si>
  <si>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</si>
  <si>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</si>
  <si>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</si>
  <si>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</si>
  <si>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</si>
  <si>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</si>
  <si>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</si>
  <si>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</si>
  <si>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</si>
  <si>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</si>
  <si>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</si>
  <si>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</si>
  <si>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</si>
  <si>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</si>
  <si>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</si>
  <si>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</si>
  <si>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</si>
  <si>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</si>
  <si>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</si>
  <si>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</si>
  <si>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</si>
  <si>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</si>
  <si>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</si>
  <si>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</si>
  <si>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</si>
  <si>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</si>
  <si>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</si>
  <si>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</si>
  <si>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</si>
  <si>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</si>
  <si>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</si>
  <si>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</si>
  <si>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</si>
  <si>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</si>
  <si>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</si>
  <si>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</si>
  <si>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</si>
  <si>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</si>
  <si>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</si>
  <si>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</si>
  <si>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</si>
  <si>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</si>
  <si>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</si>
  <si>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</si>
  <si>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</si>
  <si>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</si>
  <si>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</si>
  <si>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</si>
  <si>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</si>
  <si>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</si>
  <si>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</si>
  <si>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</si>
  <si>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</si>
  <si>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</si>
  <si>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</si>
  <si>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</si>
  <si>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</si>
  <si>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</si>
  <si>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</si>
  <si>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</si>
  <si>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</si>
  <si>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</si>
  <si>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</si>
  <si>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</si>
  <si>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</si>
  <si>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</si>
  <si>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</si>
  <si>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</si>
  <si>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</si>
  <si>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</si>
  <si>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</si>
  <si>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</si>
  <si>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</si>
  <si>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</si>
  <si>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</si>
  <si>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</si>
  <si>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</si>
  <si>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</si>
  <si>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</si>
  <si>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</si>
  <si>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</si>
  <si>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</si>
  <si>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</si>
  <si>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</si>
  <si>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</si>
  <si>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</si>
  <si>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</si>
  <si>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</si>
  <si>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</si>
  <si>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</si>
  <si>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</si>
  <si>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</si>
  <si>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</si>
  <si>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</si>
  <si>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</si>
  <si>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</si>
  <si>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</si>
  <si>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</si>
  <si>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</si>
  <si>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</si>
  <si>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</si>
  <si>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</si>
  <si>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</si>
  <si>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</si>
  <si>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</si>
  <si>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</si>
  <si>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</si>
  <si>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</si>
  <si>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</si>
  <si>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</si>
  <si>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</si>
  <si>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</si>
  <si>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</si>
  <si>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</si>
  <si>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</si>
  <si>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</si>
  <si>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</si>
  <si>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</si>
  <si>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</si>
  <si>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</si>
  <si>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</si>
  <si>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</si>
  <si>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</si>
  <si>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</si>
  <si>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</si>
  <si>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</si>
  <si>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</si>
  <si>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</si>
  <si>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</si>
  <si>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</si>
  <si>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</si>
  <si>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</si>
  <si>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</si>
  <si>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</si>
  <si>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</si>
  <si>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</si>
  <si>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</si>
  <si>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</si>
  <si>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</si>
  <si>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</si>
  <si>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</si>
  <si>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</si>
  <si>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</si>
  <si>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</si>
  <si>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</si>
  <si>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</si>
  <si>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</si>
  <si>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</si>
  <si>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</si>
  <si>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</si>
  <si>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</si>
  <si>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</si>
  <si>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</si>
  <si>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</si>
  <si>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</si>
  <si>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</si>
  <si>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</si>
  <si>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</si>
  <si>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</si>
  <si>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</si>
  <si>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</si>
  <si>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</si>
  <si>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</si>
  <si>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</si>
  <si>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</si>
  <si>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</si>
  <si>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</si>
  <si>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</si>
  <si>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</si>
  <si>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</si>
  <si>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</si>
  <si>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</si>
  <si>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</si>
  <si>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</si>
  <si>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</si>
  <si>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</si>
  <si>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</si>
  <si>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</si>
  <si>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</si>
  <si>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</si>
  <si>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</si>
  <si>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</si>
  <si>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</si>
  <si>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</si>
  <si>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</si>
  <si>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</si>
  <si>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</si>
  <si>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</si>
  <si>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</si>
  <si>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</si>
  <si>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</si>
  <si>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</si>
  <si>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</si>
  <si>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</si>
  <si>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</si>
  <si>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</si>
  <si>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</si>
  <si>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</si>
  <si>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</si>
  <si>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</si>
  <si>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</si>
  <si>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</si>
  <si>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</si>
  <si>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</si>
  <si>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</si>
  <si>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</si>
  <si>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</si>
  <si>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</si>
  <si>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</si>
  <si>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</si>
  <si>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</si>
  <si>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</si>
  <si>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</si>
  <si>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</si>
  <si>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</si>
  <si>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</si>
  <si>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</si>
  <si>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</si>
  <si>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</si>
  <si>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</si>
  <si>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</si>
  <si>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</si>
  <si>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</si>
  <si>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</si>
  <si>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</si>
  <si>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</si>
  <si>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</si>
  <si>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</si>
  <si>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</si>
  <si>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</si>
  <si>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</si>
  <si>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</si>
  <si>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</si>
  <si>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</si>
  <si>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</si>
  <si>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</si>
  <si>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</si>
  <si>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</si>
  <si>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</si>
  <si>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</si>
  <si>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</si>
  <si>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</si>
  <si>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</si>
  <si>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</si>
  <si>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</si>
  <si>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</si>
  <si>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</si>
  <si>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</si>
  <si>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</si>
  <si>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</si>
  <si>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</si>
  <si>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</si>
  <si>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</si>
  <si>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</si>
  <si>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</si>
  <si>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</si>
  <si>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</si>
  <si>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</si>
  <si>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</si>
  <si>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</si>
  <si>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</si>
  <si>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</si>
  <si>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</si>
  <si>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</si>
  <si>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</si>
  <si>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</si>
  <si>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</si>
  <si>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</si>
  <si>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</si>
  <si>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</si>
  <si>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</si>
  <si>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</si>
  <si>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</si>
  <si>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</si>
  <si>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</si>
  <si>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</si>
  <si>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</si>
  <si>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</si>
  <si>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</si>
  <si>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</si>
  <si>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</si>
  <si>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</si>
  <si>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</si>
  <si>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</si>
  <si>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</si>
  <si>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</si>
  <si>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</si>
  <si>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</si>
  <si>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</si>
  <si>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</si>
  <si>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</si>
  <si>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</si>
  <si>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</si>
  <si>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</si>
  <si>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</si>
  <si>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</si>
  <si>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</si>
  <si>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</si>
  <si>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</si>
  <si>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</si>
  <si>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</si>
  <si>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</si>
  <si>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</si>
  <si>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</si>
  <si>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</si>
  <si>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</si>
  <si>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</si>
  <si>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</si>
  <si>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</si>
  <si>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</si>
  <si>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</si>
  <si>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</si>
  <si>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</si>
  <si>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</si>
  <si>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</si>
  <si>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</si>
  <si>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</si>
  <si>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</si>
  <si>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</si>
  <si>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</si>
  <si>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</si>
  <si>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</si>
  <si>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</si>
  <si>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</si>
  <si>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</si>
  <si>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</si>
  <si>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</si>
  <si>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</si>
  <si>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</si>
  <si>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</si>
  <si>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</si>
  <si>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</si>
  <si>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</si>
  <si>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</si>
  <si>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</si>
  <si>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</si>
  <si>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</si>
  <si>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</si>
  <si>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</si>
  <si>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</si>
  <si>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</si>
  <si>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</si>
  <si>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</si>
  <si>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</si>
  <si>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</si>
  <si>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</si>
  <si>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</si>
  <si>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</si>
  <si>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</si>
  <si>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</si>
  <si>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</si>
  <si>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</si>
  <si>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</si>
  <si>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</si>
  <si>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</si>
  <si>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</si>
  <si>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</si>
  <si>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</si>
  <si>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</si>
  <si>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</si>
  <si>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</si>
  <si>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</si>
  <si>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</si>
  <si>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</si>
  <si>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</si>
  <si>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</si>
  <si>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</si>
  <si>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</si>
  <si>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</si>
  <si>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</si>
  <si>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</si>
  <si>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</si>
  <si>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</si>
  <si>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</si>
  <si>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</si>
  <si>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</si>
  <si>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</si>
  <si>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</si>
  <si>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</si>
  <si>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</si>
  <si>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</si>
  <si>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</si>
  <si>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</si>
  <si>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</si>
  <si>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</si>
  <si>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</si>
  <si>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</si>
  <si>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</si>
  <si>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</si>
  <si>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</si>
  <si>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</si>
  <si>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</si>
  <si>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</si>
  <si>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</si>
  <si>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</si>
  <si>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</si>
  <si>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</si>
  <si>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</si>
  <si>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</si>
  <si>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</si>
  <si>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</si>
  <si>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</si>
  <si>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</si>
  <si>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</si>
  <si>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</si>
  <si>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</si>
  <si>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</si>
  <si>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</si>
  <si>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</si>
  <si>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</si>
  <si>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</si>
  <si>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</si>
  <si>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</si>
  <si>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</si>
  <si>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</si>
  <si>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</si>
  <si>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</si>
  <si>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</si>
  <si>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</si>
  <si>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</si>
  <si>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</si>
  <si>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</si>
  <si>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</si>
  <si>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</si>
  <si>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</si>
  <si>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</si>
  <si>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</si>
  <si>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</si>
  <si>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</si>
  <si>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</si>
  <si>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</si>
  <si>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</si>
  <si>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</si>
  <si>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</si>
  <si>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</si>
  <si>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</si>
  <si>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</si>
  <si>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</si>
  <si>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</si>
  <si>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</si>
  <si>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</si>
  <si>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</si>
  <si>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</si>
  <si>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</si>
  <si>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</si>
  <si>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</si>
  <si>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</si>
  <si>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</si>
  <si>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</si>
  <si>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</si>
  <si>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</si>
  <si>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</si>
  <si>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</si>
  <si>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</si>
  <si>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</si>
  <si>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</si>
  <si>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</si>
  <si>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</si>
  <si>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</si>
  <si>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</si>
  <si>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</si>
  <si>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</si>
  <si>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</si>
  <si>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</si>
  <si>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</si>
  <si>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</si>
  <si>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</si>
  <si>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</si>
  <si>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</si>
  <si>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</si>
  <si>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</si>
  <si>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</si>
  <si>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</si>
  <si>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</si>
  <si>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</si>
  <si>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</si>
  <si>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</si>
  <si>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</si>
  <si>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</si>
  <si>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</si>
  <si>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</si>
  <si>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</si>
  <si>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</si>
  <si>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</si>
  <si>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</si>
  <si>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</si>
  <si>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</si>
  <si>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</si>
  <si>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</si>
  <si>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</si>
  <si>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</si>
  <si>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</si>
  <si>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</si>
  <si>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</si>
  <si>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</si>
  <si>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</si>
  <si>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</si>
  <si>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</si>
  <si>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</si>
  <si>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</si>
  <si>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</si>
  <si>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</si>
  <si>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</si>
  <si>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</si>
  <si>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</si>
  <si>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</si>
  <si>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</si>
  <si>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</si>
  <si>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</si>
  <si>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</si>
  <si>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</si>
  <si>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</si>
  <si>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</si>
  <si>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</si>
  <si>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</si>
  <si>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</si>
  <si>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</si>
  <si>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</si>
  <si>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</si>
  <si>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</si>
  <si>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</si>
  <si>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</si>
  <si>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</si>
  <si>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</si>
  <si>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</si>
  <si>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</si>
  <si>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</si>
  <si>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</si>
  <si>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</si>
  <si>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</si>
  <si>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</si>
  <si>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</si>
  <si>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</si>
  <si>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</si>
  <si>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</si>
  <si>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</si>
  <si>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</si>
  <si>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</si>
  <si>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</si>
  <si>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</si>
  <si>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</si>
  <si>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</si>
  <si>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</si>
  <si>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</si>
  <si>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</si>
  <si>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</si>
  <si>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</si>
  <si>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</si>
  <si>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</si>
  <si>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</si>
  <si>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</si>
  <si>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</si>
  <si>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</si>
  <si>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</si>
  <si>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</si>
  <si>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</si>
  <si>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</si>
  <si>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</si>
  <si>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</si>
  <si>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</si>
  <si>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</si>
  <si>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</si>
  <si>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</si>
  <si>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</si>
  <si>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</si>
  <si>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</si>
  <si>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</si>
  <si>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</si>
  <si>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</si>
  <si>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</si>
  <si>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</si>
  <si>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</si>
  <si>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</si>
  <si>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</si>
  <si>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</si>
  <si>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</si>
  <si>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</si>
  <si>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</si>
  <si>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</si>
  <si>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</si>
  <si>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</si>
  <si>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</si>
  <si>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</si>
  <si>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</si>
  <si>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</si>
  <si>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</si>
  <si>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</si>
  <si>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</si>
  <si>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</si>
  <si>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</si>
  <si>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</si>
  <si>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</si>
  <si>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</si>
  <si>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</si>
  <si>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</si>
  <si>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</si>
  <si>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</si>
  <si>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</si>
  <si>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</si>
  <si>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</si>
  <si>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</si>
  <si>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</si>
  <si>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</si>
  <si>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</si>
  <si>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</si>
  <si>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</si>
  <si>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</si>
  <si>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</si>
  <si>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</si>
  <si>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</si>
  <si>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</si>
  <si>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</si>
  <si>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</si>
  <si>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</si>
  <si>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</si>
  <si>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</si>
  <si>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</si>
  <si>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</si>
  <si>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</si>
  <si>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</si>
  <si>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</si>
  <si>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</si>
  <si>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</si>
  <si>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</si>
  <si>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</si>
  <si>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</si>
  <si>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</si>
  <si>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</si>
  <si>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</si>
  <si>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</si>
  <si>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</si>
  <si>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</si>
  <si>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</si>
  <si>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</si>
  <si>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</si>
  <si>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</si>
  <si>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</si>
  <si>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</si>
  <si>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</si>
  <si>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</si>
  <si>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</si>
  <si>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</si>
  <si>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</si>
  <si>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</si>
  <si>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</si>
  <si>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</si>
  <si>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</si>
  <si>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</si>
  <si>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</si>
  <si>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</si>
  <si>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</si>
  <si>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</si>
  <si>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</si>
  <si>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</si>
  <si>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</si>
  <si>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</si>
  <si>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</si>
  <si>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</si>
  <si>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</si>
  <si>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</si>
  <si>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</si>
  <si>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</si>
  <si>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</si>
  <si>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</si>
  <si>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</si>
  <si>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</si>
  <si>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</si>
  <si>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</si>
  <si>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</si>
  <si>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</si>
  <si>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</si>
  <si>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</si>
  <si>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</si>
  <si>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</si>
  <si>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</si>
  <si>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</si>
  <si>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</si>
  <si>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</si>
  <si>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</si>
  <si>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</si>
  <si>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</si>
  <si>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</si>
  <si>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</si>
  <si>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</si>
  <si>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</si>
  <si>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</si>
  <si>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</si>
  <si>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</si>
  <si>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</si>
  <si>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</si>
  <si>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</si>
  <si>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</si>
  <si>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</si>
  <si>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</si>
  <si>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</si>
  <si>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</si>
  <si>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</si>
  <si>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</si>
  <si>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</si>
  <si>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</si>
  <si>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</si>
  <si>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</si>
  <si>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</si>
  <si>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</si>
  <si>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</si>
  <si>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</si>
  <si>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</si>
  <si>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</si>
  <si>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</si>
  <si>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</si>
  <si>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</si>
  <si>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</si>
  <si>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</si>
  <si>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</si>
  <si>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</si>
  <si>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</si>
  <si>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</si>
  <si>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</si>
  <si>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</si>
  <si>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</si>
  <si>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</si>
  <si>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</si>
  <si>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</si>
  <si>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</si>
  <si>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</si>
  <si>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</si>
  <si>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</si>
  <si>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</si>
  <si>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</si>
  <si>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</si>
  <si>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</si>
  <si>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</si>
  <si>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</si>
  <si>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</si>
  <si>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</si>
  <si>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</si>
  <si>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</si>
  <si>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</si>
  <si>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</si>
  <si>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</si>
  <si>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</si>
  <si>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</si>
  <si>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</si>
  <si>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</si>
  <si>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</si>
  <si>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</si>
  <si>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</si>
  <si>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</si>
  <si>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</si>
  <si>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</si>
  <si>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</si>
  <si>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</si>
  <si>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</si>
  <si>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</si>
  <si>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</si>
  <si>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</si>
  <si>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</si>
  <si>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</si>
  <si>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</si>
  <si>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</si>
  <si>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</si>
  <si>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</si>
  <si>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</si>
  <si>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</si>
  <si>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</si>
  <si>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</si>
  <si>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</si>
  <si>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</si>
  <si>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</si>
  <si>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</si>
  <si>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</si>
  <si>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</si>
  <si>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</si>
  <si>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</si>
  <si>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</si>
  <si>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</si>
  <si>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</si>
  <si>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</si>
  <si>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</si>
  <si>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</si>
  <si>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</si>
  <si>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</si>
  <si>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</si>
  <si>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</si>
  <si>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</si>
  <si>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</si>
  <si>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</si>
  <si>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</si>
  <si>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</si>
  <si>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</si>
  <si>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</si>
  <si>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</si>
  <si>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</si>
  <si>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</si>
  <si>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</si>
  <si>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</si>
  <si>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</si>
  <si>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</si>
  <si>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</si>
  <si>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</si>
  <si>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</si>
  <si>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</si>
  <si>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</si>
  <si>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</si>
  <si>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</si>
  <si>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</si>
  <si>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</si>
  <si>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</si>
  <si>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</si>
  <si>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</si>
  <si>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</si>
  <si>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</si>
  <si>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</si>
  <si>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</si>
  <si>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</si>
  <si>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</si>
  <si>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</si>
  <si>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</si>
  <si>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</si>
  <si>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</si>
  <si>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</si>
  <si>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</si>
  <si>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</si>
  <si>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</si>
  <si>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</si>
  <si>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</si>
  <si>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</si>
  <si>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</si>
  <si>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</si>
  <si>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</si>
  <si>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</si>
  <si>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</si>
  <si>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</si>
  <si>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</si>
  <si>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</si>
  <si>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</si>
  <si>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</si>
  <si>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</si>
  <si>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</si>
  <si>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</si>
  <si>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</si>
  <si>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</si>
  <si>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</si>
  <si>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</si>
  <si>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</si>
  <si>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</si>
  <si>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</si>
  <si>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</si>
  <si>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</si>
  <si>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</si>
  <si>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</si>
  <si>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</si>
  <si>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</si>
  <si>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</si>
  <si>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</si>
  <si>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</si>
  <si>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</si>
  <si>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</si>
  <si>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</si>
  <si>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</si>
  <si>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</si>
  <si>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</si>
  <si>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</si>
  <si>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</si>
  <si>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</si>
  <si>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</si>
  <si>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</si>
  <si>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</si>
  <si>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</si>
  <si>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</si>
  <si>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</si>
  <si>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</si>
  <si>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</si>
  <si>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</si>
  <si>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</si>
  <si>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</si>
  <si>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</si>
  <si>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</si>
  <si>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</si>
  <si>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</si>
  <si>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</si>
  <si>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</si>
  <si>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</si>
  <si>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</si>
  <si>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</si>
  <si>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</si>
  <si>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</si>
  <si>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</si>
  <si>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</si>
  <si>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</si>
  <si>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</si>
  <si>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</si>
  <si>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</si>
  <si>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</si>
  <si>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</si>
  <si>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</si>
  <si>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</si>
  <si>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</si>
  <si>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</si>
  <si>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</si>
  <si>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</si>
  <si>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</si>
  <si>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</si>
  <si>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</si>
  <si>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</si>
  <si>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</si>
  <si>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</si>
  <si>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</si>
  <si>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</si>
  <si>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</si>
  <si>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</si>
  <si>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</si>
  <si>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</si>
  <si>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</si>
  <si>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</si>
  <si>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</si>
  <si>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</si>
  <si>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</si>
  <si>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</si>
  <si>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</si>
  <si>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</si>
  <si>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</si>
  <si>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</si>
  <si>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</si>
  <si>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</si>
  <si>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</si>
  <si>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</si>
  <si>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</si>
  <si>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</si>
  <si>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</si>
  <si>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</si>
  <si>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</si>
  <si>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</si>
  <si>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</si>
  <si>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</si>
  <si>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</si>
  <si>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</si>
  <si>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</si>
  <si>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</si>
  <si>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</si>
  <si>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</si>
  <si>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</si>
  <si>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</si>
  <si>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</si>
  <si>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</si>
  <si>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</si>
  <si>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</si>
  <si>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</si>
  <si>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</si>
  <si>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</si>
  <si>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</si>
  <si>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</si>
  <si>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</si>
  <si>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</si>
  <si>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</si>
  <si>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</si>
  <si>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</si>
  <si>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</si>
  <si>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</si>
  <si>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</si>
  <si>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</si>
  <si>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</si>
  <si>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</si>
  <si>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</si>
  <si>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</si>
  <si>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</si>
  <si>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</si>
  <si>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</si>
  <si>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</si>
  <si>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</si>
  <si>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</si>
  <si>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</si>
  <si>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</si>
  <si>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</si>
  <si>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</si>
  <si>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</si>
  <si>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</si>
  <si>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</si>
  <si>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</si>
  <si>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</si>
  <si>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</si>
  <si>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</si>
  <si>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</si>
  <si>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</si>
  <si>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</si>
  <si>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</si>
  <si>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</si>
  <si>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</si>
  <si>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</si>
  <si>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</si>
  <si>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</si>
  <si>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</si>
  <si>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</si>
  <si>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</si>
  <si>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</si>
  <si>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</si>
  <si>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</si>
  <si>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</si>
  <si>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</si>
  <si>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</si>
  <si>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</si>
  <si>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</si>
  <si>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</si>
  <si>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</si>
  <si>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</si>
  <si>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</si>
  <si>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</si>
  <si>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</si>
  <si>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</si>
  <si>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</si>
  <si>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</si>
  <si>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</si>
  <si>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</si>
  <si>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</si>
  <si>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</si>
  <si>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</si>
  <si>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</si>
  <si>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</si>
  <si>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</si>
  <si>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</si>
  <si>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</si>
  <si>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</si>
  <si>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</si>
  <si>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</si>
  <si>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</si>
  <si>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</si>
  <si>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</si>
  <si>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</si>
  <si>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</si>
  <si>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</si>
  <si>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</si>
  <si>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</si>
  <si>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</si>
  <si>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</si>
  <si>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</si>
  <si>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</si>
  <si>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</si>
  <si>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</si>
  <si>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</si>
  <si>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</si>
  <si>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</si>
  <si>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</si>
  <si>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</si>
  <si>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</si>
  <si>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</si>
  <si>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</si>
  <si>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</si>
  <si>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</si>
  <si>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</si>
  <si>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</si>
  <si>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</si>
  <si>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</si>
  <si>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</si>
  <si>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</si>
  <si>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</si>
  <si>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</si>
  <si>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</si>
  <si>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</si>
  <si>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</si>
  <si>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</si>
  <si>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</si>
  <si>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</si>
  <si>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</si>
  <si>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</si>
  <si>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</si>
  <si>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</si>
  <si>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</si>
  <si>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</si>
  <si>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</si>
  <si>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</si>
  <si>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</si>
  <si>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</si>
  <si>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</si>
  <si>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</si>
  <si>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</si>
  <si>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</si>
  <si>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</si>
  <si>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</si>
  <si>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</si>
  <si>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</si>
  <si>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</si>
  <si>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</si>
  <si>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</si>
  <si>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</si>
  <si>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</si>
  <si>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</si>
  <si>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</si>
  <si>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</si>
  <si>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</si>
  <si>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</si>
  <si>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</si>
  <si>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</si>
  <si>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</si>
  <si>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</si>
  <si>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</si>
  <si>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</si>
  <si>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</si>
  <si>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</si>
  <si>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</si>
  <si>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</si>
  <si>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</si>
  <si>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</si>
  <si>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</si>
  <si>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</si>
  <si>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</si>
  <si>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</si>
  <si>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</si>
  <si>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</si>
  <si>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</si>
  <si>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</si>
  <si>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</si>
  <si>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</si>
  <si>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</si>
  <si>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</si>
  <si>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</si>
  <si>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</si>
  <si>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</si>
  <si>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</si>
  <si>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</si>
  <si>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</si>
  <si>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</si>
  <si>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</si>
  <si>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</si>
  <si>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</si>
  <si>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</si>
  <si>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</si>
  <si>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</si>
  <si>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</si>
  <si>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</si>
  <si>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</si>
  <si>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</si>
  <si>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</si>
  <si>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</si>
  <si>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</si>
  <si>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</si>
  <si>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</si>
  <si>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</si>
  <si>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</si>
  <si>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</si>
  <si>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</si>
  <si>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</si>
  <si>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</si>
  <si>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</si>
  <si>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</si>
  <si>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</si>
  <si>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</si>
  <si>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</si>
  <si>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</si>
  <si>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</si>
  <si>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</si>
  <si>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</si>
  <si>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</si>
  <si>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</si>
  <si>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</si>
  <si>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</si>
  <si>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</si>
  <si>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</si>
  <si>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</si>
  <si>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</si>
  <si>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</si>
  <si>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</si>
  <si>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</si>
  <si>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</si>
  <si>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</si>
  <si>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</si>
  <si>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</si>
  <si>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</si>
  <si>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</si>
  <si>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</si>
  <si>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</si>
  <si>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</si>
  <si>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</si>
  <si>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</si>
  <si>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</si>
  <si>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</si>
  <si>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</si>
  <si>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</si>
  <si>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</si>
  <si>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</si>
  <si>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</si>
  <si>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</si>
  <si>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</si>
  <si>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</si>
  <si>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</si>
  <si>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</si>
  <si>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</si>
  <si>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</si>
  <si>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</si>
  <si>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</si>
  <si>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</si>
  <si>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</si>
  <si>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</si>
  <si>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</si>
  <si>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</si>
  <si>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</si>
  <si>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</si>
  <si>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</si>
  <si>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</si>
  <si>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</si>
  <si>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</si>
  <si>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</si>
  <si>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</si>
  <si>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</si>
  <si>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</si>
  <si>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</si>
  <si>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</si>
  <si>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</si>
  <si>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</si>
  <si>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</si>
  <si>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</si>
  <si>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</si>
  <si>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</si>
  <si>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</si>
  <si>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</si>
  <si>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</si>
  <si>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</si>
  <si>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</si>
  <si>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</si>
  <si>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</si>
  <si>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</si>
  <si>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</si>
  <si>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</si>
  <si>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</si>
  <si>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</si>
  <si>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</si>
  <si>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</si>
  <si>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</si>
  <si>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</si>
  <si>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</si>
  <si>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</si>
  <si>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</si>
  <si>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</si>
  <si>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</si>
  <si>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</si>
  <si>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</si>
  <si>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</si>
  <si>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</si>
  <si>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</si>
  <si>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</si>
  <si>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</si>
  <si>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</si>
  <si>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</si>
  <si>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</si>
  <si>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</si>
  <si>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</si>
  <si>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</si>
  <si>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</si>
  <si>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</si>
  <si>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</si>
  <si>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</si>
  <si>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</si>
  <si>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</si>
  <si>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</si>
  <si>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</si>
  <si>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</si>
  <si>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</si>
  <si>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</si>
  <si>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</si>
  <si>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</si>
  <si>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</si>
  <si>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</si>
  <si>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</si>
  <si>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</si>
  <si>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</si>
  <si>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</si>
  <si>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</si>
  <si>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</si>
  <si>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</si>
  <si>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</si>
  <si>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</si>
  <si>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</si>
  <si>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</si>
  <si>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</si>
  <si>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</si>
  <si>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</si>
  <si>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</si>
  <si>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</si>
  <si>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</si>
  <si>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</si>
  <si>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</si>
  <si>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</si>
  <si>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</si>
  <si>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</si>
  <si>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</si>
  <si>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</si>
  <si>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</si>
  <si>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</si>
  <si>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</si>
  <si>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</si>
  <si>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</si>
  <si>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</si>
  <si>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</si>
  <si>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</si>
  <si>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</si>
  <si>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</si>
  <si>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</si>
  <si>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</si>
  <si>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</si>
  <si>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</si>
  <si>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</si>
  <si>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</si>
  <si>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</si>
  <si>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</si>
  <si>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</si>
  <si>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</si>
  <si>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</si>
  <si>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</si>
  <si>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</si>
  <si>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</si>
  <si>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</si>
  <si>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</si>
  <si>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</si>
  <si>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</si>
  <si>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</si>
  <si>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</si>
  <si>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</si>
  <si>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</si>
  <si>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</si>
  <si>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</si>
  <si>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</si>
  <si>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</si>
  <si>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</si>
  <si>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</si>
  <si>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</si>
  <si>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</si>
  <si>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</si>
  <si>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</si>
  <si>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</si>
  <si>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</si>
  <si>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</si>
  <si>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</si>
  <si>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</si>
  <si>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</si>
  <si>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</si>
  <si>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</si>
  <si>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</si>
  <si>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</si>
  <si>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</si>
  <si>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</si>
  <si>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</si>
  <si>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</si>
  <si>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</si>
  <si>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</si>
  <si>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</si>
  <si>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</si>
  <si>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</si>
  <si>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</si>
  <si>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</si>
  <si>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</si>
  <si>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</si>
  <si>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</si>
  <si>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</si>
  <si>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</si>
  <si>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</si>
  <si>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</si>
  <si>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</si>
  <si>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</si>
  <si>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</si>
  <si>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</si>
  <si>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</si>
  <si>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</si>
  <si>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</si>
  <si>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</si>
  <si>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</si>
  <si>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</si>
  <si>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</si>
  <si>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</si>
  <si>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</si>
  <si>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</si>
  <si>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</si>
  <si>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</si>
  <si>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</si>
  <si>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</si>
  <si>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</si>
  <si>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</si>
  <si>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</si>
  <si>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</si>
  <si>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</si>
  <si>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</si>
  <si>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</si>
  <si>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</si>
  <si>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</si>
  <si>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</si>
  <si>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</si>
  <si>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</si>
  <si>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</si>
  <si>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</si>
  <si>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</si>
  <si>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</si>
  <si>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</si>
  <si>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</si>
  <si>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</si>
  <si>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</si>
  <si>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</si>
  <si>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</si>
  <si>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</si>
  <si>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</si>
  <si>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</si>
  <si>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</si>
  <si>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</si>
  <si>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</si>
  <si>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</si>
  <si>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</si>
  <si>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</si>
  <si>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</si>
  <si>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</si>
  <si>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</si>
  <si>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</si>
  <si>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</si>
  <si>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</si>
  <si>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</si>
  <si>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</si>
  <si>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</si>
  <si>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</si>
  <si>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</si>
  <si>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</si>
  <si>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</si>
  <si>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</si>
  <si>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</si>
  <si>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</si>
  <si>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</si>
  <si>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</si>
  <si>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</si>
  <si>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</si>
  <si>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</si>
  <si>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</si>
  <si>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</si>
  <si>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</si>
  <si>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</si>
  <si>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</si>
  <si>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</si>
  <si>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</si>
  <si>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</si>
  <si>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</si>
  <si>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</si>
  <si>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</si>
  <si>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</si>
  <si>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</si>
  <si>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</si>
  <si>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</si>
  <si>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</si>
  <si>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</si>
  <si>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</si>
  <si>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</si>
  <si>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</si>
  <si>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</si>
  <si>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</si>
  <si>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</si>
  <si>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</si>
  <si>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</si>
  <si>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</si>
  <si>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</si>
  <si>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</si>
  <si>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</si>
  <si>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</si>
  <si>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</si>
  <si>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</si>
  <si>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</si>
  <si>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</si>
  <si>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</si>
  <si>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</si>
  <si>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</si>
  <si>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</si>
  <si>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</si>
  <si>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</si>
  <si>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</si>
  <si>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</si>
  <si>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</si>
  <si>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</si>
  <si>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</si>
  <si>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</si>
  <si>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</si>
  <si>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</si>
  <si>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</si>
  <si>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</si>
  <si>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</si>
  <si>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</si>
  <si>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</si>
  <si>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</si>
  <si>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</si>
  <si>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</si>
  <si>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</si>
  <si>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</si>
  <si>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</si>
  <si>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</si>
  <si>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</si>
  <si>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</si>
  <si>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</si>
  <si>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</si>
  <si>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</si>
  <si>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</si>
  <si>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</si>
  <si>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</si>
  <si>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</si>
  <si>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</si>
  <si>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</si>
  <si>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</si>
  <si>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</si>
  <si>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</si>
  <si>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</si>
  <si>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</si>
  <si>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</si>
  <si>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</si>
  <si>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</si>
  <si>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</si>
  <si>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</si>
  <si>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</si>
  <si>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</si>
  <si>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</si>
  <si>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</si>
  <si>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</si>
  <si>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</si>
  <si>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</si>
  <si>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</si>
  <si>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6.3 (2025): gültig bis 30. Mai 2026)</t>
  </si>
  <si>
    <t>Versione 6.3 (2025): valida fino al 30 maggio 2026</t>
  </si>
  <si>
    <t>Version 6.3 (2025): valable jusqu'au 30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</si>
</sst>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1" xfId="0" applyBorder="1" applyAlignment="1">
      <alignment horizontal="left"/>
    </xf>
    <xf numFmtId="1" fontId="0" fillId="0" borderId="5" xfId="0" applyNumberFormat="1" applyBorder="1" applyAlignment="1">
      <alignment horizontal="left"/>
    </xf>
    <xf numFmtId="0" fontId="0" fillId="0" borderId="5" xfId="0"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11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23" borderId="0" xfId="0" applyFill="1"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0" fillId="4" borderId="1" xfId="0" applyNumberFormat="1" applyFill="1" applyBorder="1" applyAlignment="1">
      <alignment horizontal="left"/>
    </xf>
    <xf numFmtId="0" fontId="0" fillId="4" borderId="1" xfId="0" applyFill="1" applyBorder="1" applyAlignment="1">
      <alignment horizontal="left"/>
    </xf>
    <xf numFmtId="3" fontId="0" fillId="2" borderId="1" xfId="0" applyNumberFormat="1" applyFill="1" applyBorder="1" applyAlignment="1">
      <alignment horizontal="left"/>
    </xf>
    <xf numFmtId="0" fontId="0" fillId="2" borderId="1" xfId="0" applyFill="1" applyBorder="1" applyAlignment="1">
      <alignment horizontal="left"/>
    </xf>
    <xf numFmtId="0" fontId="0" fillId="23" borderId="0" xfId="0" applyFill="1" applyAlignment="1">
      <alignment horizontal="left" vertical="center"/>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67" fontId="0" fillId="4" borderId="1" xfId="0" applyNumberFormat="1" applyFill="1" applyBorder="1" applyAlignment="1">
      <alignment horizontal="left"/>
    </xf>
    <xf numFmtId="167" fontId="0" fillId="0" borderId="1" xfId="0" applyNumberFormat="1" applyBorder="1" applyAlignment="1">
      <alignment horizontal="left"/>
    </xf>
    <xf numFmtId="3" fontId="0" fillId="4" borderId="5" xfId="0" applyNumberFormat="1" applyFill="1" applyBorder="1" applyAlignment="1">
      <alignment horizontal="left"/>
    </xf>
    <xf numFmtId="3" fontId="0" fillId="0" borderId="1" xfId="0" applyNumberFormat="1" applyBorder="1" applyAlignment="1">
      <alignment horizontal="left"/>
    </xf>
    <xf numFmtId="3" fontId="0" fillId="0" borderId="5" xfId="0" applyNumberFormat="1" applyBorder="1" applyAlignment="1">
      <alignment horizontal="left"/>
    </xf>
    <xf numFmtId="1" fontId="0" fillId="4" borderId="5" xfId="0" applyNumberFormat="1" applyFill="1" applyBorder="1" applyAlignment="1">
      <alignment horizontal="left"/>
    </xf>
    <xf numFmtId="167" fontId="0" fillId="2" borderId="1" xfId="0" applyNumberFormat="1" applyFill="1" applyBorder="1" applyAlignment="1">
      <alignment horizontal="left"/>
    </xf>
    <xf numFmtId="3" fontId="0" fillId="0" borderId="1" xfId="0" applyNumberFormat="1" applyBorder="1" applyAlignment="1">
      <alignment horizontal="right"/>
    </xf>
    <xf numFmtId="1" fontId="0" fillId="2" borderId="1" xfId="0" applyNumberFormat="1" applyFill="1" applyBorder="1" applyAlignment="1">
      <alignment horizontal="left"/>
    </xf>
    <xf numFmtId="0" fontId="42" fillId="0" borderId="0" xfId="0" applyFont="1" applyAlignment="1">
      <alignment horizontal="left"/>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 fontId="0" fillId="0" borderId="1" xfId="0" applyNumberFormat="1" applyBorder="1" applyAlignment="1">
      <alignment horizontal="left"/>
    </xf>
    <xf numFmtId="167" fontId="0" fillId="2" borderId="5" xfId="0" applyNumberFormat="1" applyFill="1" applyBorder="1" applyAlignment="1">
      <alignment horizontal="left"/>
    </xf>
    <xf numFmtId="3" fontId="0" fillId="2" borderId="1" xfId="0" applyNumberFormat="1" applyFill="1" applyBorder="1" applyAlignment="1">
      <alignment horizontal="right"/>
    </xf>
    <xf numFmtId="3" fontId="0" fillId="2" borderId="5" xfId="0" applyNumberFormat="1" applyFill="1" applyBorder="1" applyAlignment="1">
      <alignment horizontal="left"/>
    </xf>
    <xf numFmtId="3" fontId="0" fillId="4" borderId="1" xfId="0" applyNumberFormat="1" applyFill="1" applyBorder="1" applyAlignment="1">
      <alignment horizontal="right"/>
    </xf>
    <xf numFmtId="3" fontId="0" fillId="2" borderId="5" xfId="0" applyNumberFormat="1" applyFill="1" applyBorder="1" applyAlignment="1">
      <alignment horizontal="right"/>
    </xf>
    <xf numFmtId="0" fontId="0" fillId="2" borderId="5" xfId="0" applyFill="1" applyBorder="1" applyAlignment="1">
      <alignment horizontal="left"/>
    </xf>
    <xf numFmtId="0" fontId="0" fillId="0" borderId="0" xfId="0" applyAlignment="1">
      <alignment horizontal="center" textRotation="90"/>
    </xf>
    <xf numFmtId="3" fontId="0" fillId="3" borderId="5" xfId="0" applyNumberFormat="1" applyFill="1" applyBorder="1" applyAlignment="1">
      <alignment horizontal="left"/>
    </xf>
    <xf numFmtId="3" fontId="40" fillId="7" borderId="0" xfId="0" applyNumberFormat="1" applyFont="1" applyFill="1" applyAlignment="1">
      <alignment horizontal="right"/>
    </xf>
    <xf numFmtId="0" fontId="40" fillId="7" borderId="0" xfId="0" applyFont="1" applyFill="1" applyAlignment="1">
      <alignment horizontal="right"/>
    </xf>
    <xf numFmtId="3" fontId="10" fillId="0" borderId="0" xfId="0" applyNumberFormat="1" applyFont="1" applyAlignment="1">
      <alignment horizontal="right"/>
    </xf>
    <xf numFmtId="3" fontId="10" fillId="0" borderId="8" xfId="0" applyNumberFormat="1" applyFont="1" applyBorder="1" applyAlignment="1">
      <alignment horizontal="right"/>
    </xf>
    <xf numFmtId="9" fontId="65" fillId="0" borderId="7" xfId="0" applyNumberFormat="1" applyFont="1" applyBorder="1" applyAlignment="1">
      <alignment horizontal="center"/>
    </xf>
    <xf numFmtId="0" fontId="0" fillId="3" borderId="0" xfId="0" applyFill="1" applyAlignment="1">
      <alignment horizontal="center"/>
    </xf>
    <xf numFmtId="0" fontId="114" fillId="0" borderId="0" xfId="0" applyFont="1" applyAlignment="1">
      <alignment horizontal="left" vertical="center" wrapText="1"/>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center"/>
      <protection locked="0"/>
    </xf>
    <xf numFmtId="0" fontId="0" fillId="5"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9" fontId="65" fillId="4" borderId="30" xfId="1" applyFont="1" applyFill="1" applyBorder="1" applyAlignment="1">
      <alignment horizontal="center"/>
    </xf>
    <xf numFmtId="9" fontId="65" fillId="4" borderId="7" xfId="1" applyFont="1" applyFill="1" applyBorder="1" applyAlignment="1">
      <alignment horizontal="center"/>
    </xf>
    <xf numFmtId="9" fontId="65" fillId="4" borderId="7" xfId="1" applyFont="1" applyFill="1" applyBorder="1" applyAlignment="1">
      <alignment horizontal="center" wrapText="1"/>
    </xf>
    <xf numFmtId="167" fontId="6" fillId="0" borderId="7" xfId="0" applyNumberFormat="1" applyFont="1" applyBorder="1" applyAlignment="1">
      <alignment horizontal="center" vertical="center"/>
    </xf>
    <xf numFmtId="165" fontId="10" fillId="0" borderId="0" xfId="0" applyNumberFormat="1" applyFont="1" applyAlignment="1">
      <alignment horizontal="right" vertical="center"/>
    </xf>
    <xf numFmtId="3" fontId="10" fillId="0" borderId="0" xfId="0" applyNumberFormat="1" applyFont="1" applyAlignment="1">
      <alignment horizontal="left"/>
    </xf>
    <xf numFmtId="1" fontId="10" fillId="0" borderId="5" xfId="1" applyNumberFormat="1" applyFont="1" applyBorder="1" applyAlignment="1" applyProtection="1">
      <alignment horizontal="right" vertical="center"/>
    </xf>
    <xf numFmtId="9" fontId="18" fillId="2" borderId="0" xfId="1" applyFont="1" applyFill="1" applyBorder="1" applyAlignment="1" applyProtection="1">
      <alignment horizontal="left" vertical="center"/>
    </xf>
    <xf numFmtId="0" fontId="10" fillId="0" borderId="0" xfId="0" applyFont="1" applyAlignment="1">
      <alignment horizontal="left" vertical="center"/>
    </xf>
    <xf numFmtId="4" fontId="0" fillId="0" borderId="5" xfId="3" applyNumberFormat="1" applyFont="1" applyBorder="1" applyAlignment="1" applyProtection="1"/>
    <xf numFmtId="164" fontId="0" fillId="0" borderId="5" xfId="3" applyNumberFormat="1" applyFont="1" applyBorder="1" applyAlignment="1" applyProtection="1">
      <alignment horizontal="right"/>
    </xf>
    <xf numFmtId="167" fontId="6" fillId="3" borderId="8" xfId="0" applyNumberFormat="1" applyFont="1" applyFill="1" applyBorder="1" applyAlignment="1">
      <alignment horizontal="right" vertical="center"/>
    </xf>
    <xf numFmtId="0" fontId="10" fillId="0" borderId="0" xfId="0" applyFont="1" applyAlignment="1">
      <alignment horizontal="left"/>
    </xf>
    <xf numFmtId="176" fontId="10" fillId="0" borderId="0" xfId="0" applyNumberFormat="1" applyFont="1" applyAlignment="1">
      <alignment horizontal="right"/>
    </xf>
    <xf numFmtId="9" fontId="10" fillId="0" borderId="0" xfId="1" applyFont="1" applyFill="1" applyBorder="1" applyAlignment="1" applyProtection="1">
      <alignment horizontal="right"/>
    </xf>
    <xf numFmtId="1" fontId="0" fillId="0" borderId="0" xfId="0" applyNumberFormat="1" applyAlignment="1">
      <alignment horizontal="right"/>
    </xf>
    <xf numFmtId="167" fontId="0" fillId="0" borderId="5" xfId="0" applyNumberFormat="1" applyBorder="1" applyAlignment="1">
      <alignment horizontal="right" vertical="center"/>
    </xf>
    <xf numFmtId="0" fontId="10" fillId="0" borderId="0" xfId="0" applyFont="1" applyAlignment="1">
      <alignment horizontal="right"/>
    </xf>
    <xf numFmtId="9" fontId="0" fillId="0" borderId="5" xfId="1" applyFont="1" applyBorder="1" applyAlignment="1" applyProtection="1">
      <alignment horizontal="right" vertical="center"/>
    </xf>
    <xf numFmtId="0" fontId="10" fillId="0" borderId="8" xfId="0" applyFont="1" applyBorder="1" applyAlignment="1">
      <alignment horizontal="left"/>
    </xf>
    <xf numFmtId="176" fontId="10" fillId="0" borderId="8" xfId="0" applyNumberFormat="1" applyFont="1" applyBorder="1" applyAlignment="1">
      <alignment horizontal="right"/>
    </xf>
    <xf numFmtId="9" fontId="10" fillId="0" borderId="8" xfId="1" applyFont="1" applyFill="1" applyBorder="1" applyAlignment="1" applyProtection="1">
      <alignment horizontal="right"/>
    </xf>
    <xf numFmtId="1" fontId="0" fillId="0" borderId="8" xfId="0" applyNumberFormat="1" applyBorder="1" applyAlignment="1">
      <alignment horizontal="right"/>
    </xf>
    <xf numFmtId="1" fontId="72"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3" fontId="18" fillId="0" borderId="1" xfId="0" applyNumberFormat="1" applyFont="1" applyBorder="1" applyAlignment="1">
      <alignment horizontal="right"/>
    </xf>
    <xf numFmtId="167" fontId="18" fillId="0" borderId="0" xfId="0" applyNumberFormat="1" applyFont="1" applyAlignment="1">
      <alignment horizontal="right"/>
    </xf>
    <xf numFmtId="167" fontId="0" fillId="0" borderId="0" xfId="0" applyNumberFormat="1" applyAlignment="1">
      <alignment horizontal="right"/>
    </xf>
    <xf numFmtId="3" fontId="79" fillId="0" borderId="0" xfId="0" applyNumberFormat="1" applyFont="1" applyAlignment="1">
      <alignment horizontal="right"/>
    </xf>
    <xf numFmtId="3" fontId="3" fillId="0" borderId="0" xfId="0" applyNumberFormat="1" applyFont="1" applyAlignment="1">
      <alignment horizontal="right"/>
    </xf>
    <xf numFmtId="3" fontId="18" fillId="0" borderId="0" xfId="0" applyNumberFormat="1" applyFont="1" applyAlignment="1">
      <alignment horizontal="right"/>
    </xf>
    <xf numFmtId="165" fontId="10" fillId="0" borderId="0" xfId="3" applyNumberFormat="1" applyFont="1" applyBorder="1" applyAlignment="1" applyProtection="1">
      <alignment horizontal="right"/>
    </xf>
    <xf numFmtId="1" fontId="100" fillId="0" borderId="0" xfId="0" applyNumberFormat="1" applyFont="1" applyAlignment="1">
      <alignment horizontal="right"/>
    </xf>
    <xf numFmtId="3" fontId="18" fillId="0" borderId="4" xfId="0" applyNumberFormat="1" applyFont="1" applyBorder="1" applyAlignment="1">
      <alignment horizontal="right"/>
    </xf>
    <xf numFmtId="167" fontId="98" fillId="0" borderId="0" xfId="0" applyNumberFormat="1" applyFont="1" applyAlignment="1">
      <alignment horizontal="right"/>
    </xf>
    <xf numFmtId="3" fontId="3" fillId="0" borderId="1" xfId="0" applyNumberFormat="1" applyFont="1" applyBorder="1" applyAlignment="1">
      <alignment horizontal="right"/>
    </xf>
    <xf numFmtId="1" fontId="18" fillId="0" borderId="0" xfId="0" applyNumberFormat="1" applyFont="1" applyAlignment="1">
      <alignment horizontal="right"/>
    </xf>
    <xf numFmtId="9" fontId="10" fillId="0" borderId="0" xfId="1" applyFont="1" applyBorder="1" applyAlignment="1" applyProtection="1">
      <alignment horizontal="right"/>
    </xf>
    <xf numFmtId="3" fontId="73" fillId="0" borderId="0" xfId="0" applyNumberFormat="1" applyFont="1" applyAlignment="1">
      <alignment horizontal="right"/>
    </xf>
    <xf numFmtId="0" fontId="73" fillId="0" borderId="0" xfId="0" applyFont="1" applyAlignment="1">
      <alignment horizontal="right"/>
    </xf>
    <xf numFmtId="3" fontId="40" fillId="0" borderId="0" xfId="0" applyNumberFormat="1" applyFont="1" applyAlignment="1">
      <alignment horizontal="right"/>
    </xf>
    <xf numFmtId="0" fontId="40" fillId="0" borderId="0" xfId="0" applyFont="1" applyAlignment="1">
      <alignment horizontal="right"/>
    </xf>
    <xf numFmtId="3" fontId="63" fillId="0" borderId="0" xfId="0" applyNumberFormat="1" applyFont="1" applyAlignment="1">
      <alignment horizontal="right"/>
    </xf>
    <xf numFmtId="0" fontId="63"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 fontId="24" fillId="0" borderId="5" xfId="1" applyNumberFormat="1" applyFont="1" applyFill="1" applyBorder="1" applyAlignment="1" applyProtection="1">
      <alignment horizontal="left" vertical="center"/>
    </xf>
    <xf numFmtId="0" fontId="10" fillId="3" borderId="0" xfId="0" applyFont="1" applyFill="1" applyAlignment="1">
      <alignment horizontal="left" vertical="center"/>
    </xf>
    <xf numFmtId="0" fontId="18" fillId="3" borderId="0" xfId="0" applyFont="1" applyFill="1" applyAlignment="1">
      <alignment horizontal="right" vertical="center"/>
    </xf>
    <xf numFmtId="167" fontId="10" fillId="0" borderId="1" xfId="0" applyNumberFormat="1" applyFont="1" applyBorder="1" applyAlignment="1">
      <alignment horizontal="right"/>
    </xf>
    <xf numFmtId="9" fontId="3" fillId="4" borderId="5" xfId="1" applyFont="1" applyFill="1" applyBorder="1" applyAlignment="1" applyProtection="1">
      <alignment horizontal="right" vertical="center"/>
    </xf>
    <xf numFmtId="9" fontId="0" fillId="0" borderId="1" xfId="1" applyFont="1" applyBorder="1" applyAlignment="1" applyProtection="1">
      <alignment horizontal="right" vertical="center"/>
    </xf>
    <xf numFmtId="165" fontId="0" fillId="0" borderId="5" xfId="3" applyNumberFormat="1" applyFont="1" applyBorder="1" applyAlignment="1" applyProtection="1"/>
    <xf numFmtId="0" fontId="0" fillId="21" borderId="0" xfId="0" applyFill="1" applyAlignment="1">
      <alignment horizontal="center"/>
    </xf>
    <xf numFmtId="167" fontId="10" fillId="0" borderId="0" xfId="0" applyNumberFormat="1" applyFont="1" applyAlignment="1">
      <alignment horizontal="right"/>
    </xf>
    <xf numFmtId="9" fontId="6" fillId="0" borderId="0" xfId="0" applyNumberFormat="1" applyFont="1" applyAlignment="1">
      <alignment horizontal="right"/>
    </xf>
    <xf numFmtId="0" fontId="6" fillId="0" borderId="0" xfId="0" applyFont="1" applyAlignment="1">
      <alignment horizontal="right"/>
    </xf>
    <xf numFmtId="167" fontId="69" fillId="0" borderId="0" xfId="0" applyNumberFormat="1" applyFont="1" applyAlignment="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0" fillId="0" borderId="0" xfId="0" quotePrefix="1" applyAlignment="1">
      <alignment horizontal="right"/>
    </xf>
    <xf numFmtId="3" fontId="0" fillId="0" borderId="8" xfId="0" applyNumberFormat="1" applyBorder="1" applyAlignment="1">
      <alignment horizontal="right"/>
    </xf>
    <xf numFmtId="0" fontId="0" fillId="0" borderId="8" xfId="0" applyBorder="1" applyAlignment="1">
      <alignment horizontal="right"/>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3" fontId="10" fillId="0" borderId="8" xfId="0" applyNumberFormat="1" applyFont="1" applyBorder="1" applyAlignment="1" applyProtection="1">
      <alignment horizontal="right"/>
      <protection locked="0"/>
    </xf>
    <xf numFmtId="3" fontId="69" fillId="0" borderId="0" xfId="0" applyNumberFormat="1" applyFont="1" applyAlignment="1">
      <alignment horizontal="right"/>
    </xf>
    <xf numFmtId="9" fontId="65" fillId="0" borderId="8" xfId="1" applyFont="1" applyBorder="1" applyAlignment="1">
      <alignment horizontal="center"/>
    </xf>
    <xf numFmtId="9" fontId="65" fillId="0" borderId="7" xfId="1" applyFont="1" applyFill="1" applyBorder="1" applyAlignment="1">
      <alignment horizontal="center"/>
    </xf>
    <xf numFmtId="165" fontId="10" fillId="0" borderId="0" xfId="0" applyNumberFormat="1" applyFont="1" applyAlignment="1" applyProtection="1">
      <alignment horizontal="right"/>
      <protection locked="0"/>
    </xf>
    <xf numFmtId="0" fontId="40" fillId="0" borderId="0" xfId="0" applyFont="1" applyAlignment="1">
      <alignment horizontal="center"/>
    </xf>
    <xf numFmtId="0" fontId="0" fillId="0" borderId="0" xfId="0" applyAlignment="1">
      <alignment horizontal="right" vertical="center"/>
    </xf>
    <xf numFmtId="166" fontId="10" fillId="0" borderId="0" xfId="0" applyNumberFormat="1" applyFont="1" applyAlignment="1" applyProtection="1">
      <alignment horizontal="right"/>
      <protection locked="0"/>
    </xf>
    <xf numFmtId="169" fontId="0" fillId="3" borderId="0" xfId="1" applyNumberFormat="1" applyFont="1" applyFill="1" applyBorder="1" applyAlignment="1" applyProtection="1">
      <alignment horizontal="right"/>
    </xf>
    <xf numFmtId="9" fontId="65" fillId="21" borderId="7" xfId="1" applyFont="1" applyFill="1" applyBorder="1" applyAlignment="1">
      <alignment horizontal="center"/>
    </xf>
    <xf numFmtId="169" fontId="0" fillId="0" borderId="0" xfId="1" applyNumberFormat="1" applyFont="1" applyBorder="1" applyAlignment="1" applyProtection="1">
      <alignment horizontal="right"/>
    </xf>
    <xf numFmtId="0" fontId="0" fillId="0" borderId="0" xfId="0" applyAlignment="1">
      <alignment horizontal="center"/>
    </xf>
    <xf numFmtId="9" fontId="0" fillId="0" borderId="0" xfId="0" applyNumberFormat="1" applyAlignment="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0" fontId="18" fillId="0" borderId="0" xfId="0" applyFont="1" applyAlignment="1">
      <alignment horizontal="right"/>
    </xf>
    <xf numFmtId="0" fontId="18" fillId="0" borderId="1" xfId="0" applyFont="1" applyBorder="1" applyAlignment="1">
      <alignment horizontal="right"/>
    </xf>
    <xf numFmtId="0" fontId="41" fillId="0" borderId="0" xfId="0" applyFont="1" applyAlignment="1">
      <alignment horizontal="right"/>
    </xf>
    <xf numFmtId="1" fontId="78" fillId="2" borderId="7" xfId="1" applyNumberFormat="1" applyFont="1" applyFill="1" applyBorder="1" applyAlignment="1" applyProtection="1">
      <alignment horizontal="right"/>
    </xf>
    <xf numFmtId="0" fontId="0" fillId="0" borderId="0" xfId="0" applyAlignment="1">
      <alignment horizontal="left"/>
    </xf>
    <xf numFmtId="1" fontId="78" fillId="3" borderId="0" xfId="1" applyNumberFormat="1" applyFont="1" applyFill="1" applyBorder="1" applyAlignment="1" applyProtection="1">
      <alignment horizontal="right"/>
    </xf>
    <xf numFmtId="1" fontId="78" fillId="0" borderId="0" xfId="1" applyNumberFormat="1" applyFont="1" applyFill="1" applyBorder="1" applyAlignment="1" applyProtection="1">
      <alignment horizontal="right"/>
    </xf>
    <xf numFmtId="9" fontId="0" fillId="0" borderId="8" xfId="0" applyNumberFormat="1" applyBorder="1" applyAlignment="1">
      <alignment horizontal="right"/>
    </xf>
    <xf numFmtId="0" fontId="5" fillId="0" borderId="0" xfId="2" applyBorder="1" applyAlignment="1" applyProtection="1">
      <alignment horizontal="right" vertical="center"/>
      <protection locked="0"/>
    </xf>
    <xf numFmtId="0" fontId="0" fillId="0" borderId="0" xfId="0" applyAlignment="1">
      <alignment horizontal="left" indent="1"/>
    </xf>
    <xf numFmtId="9" fontId="10" fillId="0" borderId="5" xfId="1" applyFont="1" applyBorder="1" applyAlignment="1" applyProtection="1">
      <alignment horizontal="left" vertical="center"/>
    </xf>
    <xf numFmtId="167" fontId="3" fillId="0" borderId="5" xfId="0" applyNumberFormat="1" applyFont="1" applyBorder="1" applyAlignment="1">
      <alignment horizontal="right" vertical="center"/>
    </xf>
    <xf numFmtId="0" fontId="32" fillId="0" borderId="0" xfId="0" quotePrefix="1" applyFont="1" applyAlignment="1">
      <alignment horizontal="left"/>
    </xf>
    <xf numFmtId="0" fontId="34" fillId="0" borderId="22" xfId="0" applyFont="1" applyBorder="1" applyAlignment="1">
      <alignment horizontal="left" vertical="center"/>
    </xf>
    <xf numFmtId="3" fontId="18" fillId="0" borderId="54" xfId="0" applyNumberFormat="1" applyFont="1" applyBorder="1" applyAlignment="1">
      <alignment horizontal="right"/>
    </xf>
    <xf numFmtId="0" fontId="10" fillId="0" borderId="0" xfId="0" quotePrefix="1" applyFont="1" applyAlignment="1">
      <alignment horizontal="left" vertical="top"/>
    </xf>
    <xf numFmtId="0" fontId="10" fillId="0" borderId="0" xfId="0" applyFont="1" applyAlignment="1">
      <alignment horizontal="left" vertical="top"/>
    </xf>
    <xf numFmtId="0" fontId="72" fillId="0" borderId="0" xfId="0" applyFont="1" applyAlignment="1">
      <alignment horizontal="left" vertical="top" wrapText="1"/>
    </xf>
    <xf numFmtId="165" fontId="10"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18" fillId="0" borderId="1" xfId="0" applyNumberFormat="1" applyFont="1" applyBorder="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0" fillId="0" borderId="0" xfId="0" quotePrefix="1" applyAlignment="1">
      <alignment horizontal="right" vertical="center"/>
    </xf>
    <xf numFmtId="9" fontId="16" fillId="0" borderId="0" xfId="0" applyNumberFormat="1" applyFont="1" applyAlignment="1">
      <alignment horizontal="right"/>
    </xf>
    <xf numFmtId="165" fontId="55" fillId="0" borderId="0" xfId="0" applyNumberFormat="1" applyFont="1" applyAlignment="1">
      <alignment horizontal="right" vertical="center"/>
    </xf>
    <xf numFmtId="9" fontId="40" fillId="0" borderId="0" xfId="1" applyFont="1" applyBorder="1" applyAlignment="1" applyProtection="1">
      <alignment horizontal="right"/>
    </xf>
    <xf numFmtId="167" fontId="18" fillId="0" borderId="8" xfId="0" applyNumberFormat="1" applyFont="1" applyBorder="1" applyAlignment="1">
      <alignment horizontal="right"/>
    </xf>
    <xf numFmtId="3" fontId="73" fillId="0" borderId="1" xfId="0" applyNumberFormat="1" applyFont="1" applyBorder="1" applyAlignment="1">
      <alignment horizontal="right" vertical="center"/>
    </xf>
    <xf numFmtId="3" fontId="18" fillId="0" borderId="1" xfId="3" applyNumberFormat="1" applyFont="1" applyBorder="1" applyAlignment="1" applyProtection="1">
      <alignment horizontal="right"/>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1" fontId="10" fillId="0" borderId="5" xfId="1" applyNumberFormat="1" applyFont="1" applyBorder="1" applyAlignment="1" applyProtection="1">
      <alignment horizontal="left" vertical="center"/>
    </xf>
    <xf numFmtId="169" fontId="6"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10" fillId="0" borderId="5" xfId="0" applyFont="1" applyBorder="1" applyAlignment="1">
      <alignment horizontal="left" vertical="center"/>
    </xf>
    <xf numFmtId="3" fontId="0" fillId="4" borderId="5" xfId="0" applyNumberFormat="1" applyFill="1" applyBorder="1" applyAlignment="1">
      <alignment horizontal="left" vertical="center"/>
    </xf>
    <xf numFmtId="0" fontId="10" fillId="0" borderId="0" xfId="0" quotePrefix="1" applyFont="1" applyAlignment="1">
      <alignment horizontal="right" vertical="center"/>
    </xf>
    <xf numFmtId="3" fontId="71" fillId="0" borderId="0" xfId="0" applyNumberFormat="1" applyFont="1" applyAlignment="1">
      <alignment horizontal="right"/>
    </xf>
    <xf numFmtId="9" fontId="0" fillId="0" borderId="0" xfId="1" applyFont="1" applyFill="1" applyBorder="1" applyAlignment="1" applyProtection="1">
      <alignment horizontal="right"/>
    </xf>
    <xf numFmtId="9" fontId="10" fillId="0" borderId="0" xfId="0" applyNumberFormat="1" applyFont="1" applyAlignment="1">
      <alignment horizontal="right"/>
    </xf>
    <xf numFmtId="9" fontId="105" fillId="0" borderId="0" xfId="1" applyFont="1" applyBorder="1" applyAlignment="1" applyProtection="1">
      <alignment horizontal="right"/>
    </xf>
    <xf numFmtId="165" fontId="16" fillId="0" borderId="0" xfId="0" applyNumberFormat="1" applyFont="1" applyAlignment="1">
      <alignment horizontal="right"/>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0" fontId="0" fillId="0" borderId="0" xfId="0" applyAlignment="1">
      <alignment horizontal="left" vertical="center" wrapText="1"/>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167" fontId="59" fillId="0" borderId="0" xfId="0" applyNumberFormat="1" applyFont="1" applyAlignment="1">
      <alignment horizontal="right"/>
    </xf>
    <xf numFmtId="9" fontId="0" fillId="5" borderId="5" xfId="1" applyFont="1" applyFill="1" applyBorder="1" applyAlignment="1" applyProtection="1">
      <alignment horizontal="right" vertical="center"/>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0" fontId="10" fillId="0" borderId="0" xfId="0" applyFont="1" applyAlignment="1">
      <alignment horizontal="left" wrapText="1"/>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0" fontId="24" fillId="0" borderId="0" xfId="0" applyFont="1" applyAlignment="1">
      <alignment horizontal="right"/>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165" fontId="18" fillId="0" borderId="0" xfId="0" applyNumberFormat="1" applyFont="1" applyAlignment="1">
      <alignment horizontal="right"/>
    </xf>
    <xf numFmtId="0" fontId="10" fillId="0" borderId="0" xfId="0" applyFont="1" applyAlignment="1">
      <alignment horizontal="right" vertical="center"/>
    </xf>
    <xf numFmtId="9" fontId="3" fillId="3" borderId="5" xfId="1" applyFont="1" applyFill="1" applyBorder="1" applyAlignment="1" applyProtection="1">
      <alignment horizontal="right" vertical="center"/>
    </xf>
    <xf numFmtId="9" fontId="10" fillId="0" borderId="5" xfId="1" applyFont="1" applyFill="1" applyBorder="1" applyAlignment="1" applyProtection="1">
      <alignment horizontal="right" vertical="center"/>
    </xf>
    <xf numFmtId="1" fontId="18" fillId="0" borderId="5" xfId="1" applyNumberFormat="1" applyFont="1" applyFill="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1" fontId="6" fillId="20" borderId="5" xfId="1" applyNumberFormat="1" applyFont="1" applyFill="1" applyBorder="1" applyAlignment="1" applyProtection="1">
      <alignment horizontal="right" vertical="center"/>
    </xf>
    <xf numFmtId="1" fontId="6" fillId="0" borderId="5" xfId="1" applyNumberFormat="1" applyFont="1" applyFill="1" applyBorder="1" applyAlignment="1" applyProtection="1">
      <alignment horizontal="left" vertical="center"/>
    </xf>
    <xf numFmtId="9" fontId="10" fillId="0" borderId="4" xfId="1" applyFont="1" applyBorder="1" applyAlignment="1" applyProtection="1">
      <alignment horizontal="left" vertical="center"/>
    </xf>
    <xf numFmtId="9" fontId="24" fillId="4" borderId="5" xfId="1" applyFont="1" applyFill="1" applyBorder="1" applyAlignment="1" applyProtection="1">
      <alignment horizontal="right" vertical="center"/>
    </xf>
    <xf numFmtId="1" fontId="10" fillId="0" borderId="5" xfId="0" applyNumberFormat="1" applyFont="1" applyBorder="1" applyAlignment="1">
      <alignment horizontal="right" vertical="center"/>
    </xf>
    <xf numFmtId="1" fontId="6" fillId="0" borderId="5" xfId="1" applyNumberFormat="1" applyFont="1" applyFill="1" applyBorder="1" applyAlignment="1" applyProtection="1">
      <alignment horizontal="right" vertical="center"/>
    </xf>
    <xf numFmtId="169" fontId="10" fillId="0" borderId="5" xfId="1" applyNumberFormat="1" applyFont="1" applyFill="1" applyBorder="1" applyAlignment="1" applyProtection="1">
      <alignment horizontal="righ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3" fillId="2" borderId="0" xfId="1" applyFont="1" applyFill="1" applyBorder="1" applyAlignment="1" applyProtection="1">
      <alignment horizontal="left" vertical="center"/>
    </xf>
    <xf numFmtId="3" fontId="6" fillId="3" borderId="30" xfId="0" applyNumberFormat="1" applyFont="1" applyFill="1" applyBorder="1" applyAlignment="1">
      <alignment horizontal="left" vertical="center"/>
    </xf>
    <xf numFmtId="0" fontId="6" fillId="3" borderId="0" xfId="0" applyFont="1" applyFill="1" applyAlignment="1">
      <alignment horizontal="right" vertical="center"/>
    </xf>
    <xf numFmtId="9" fontId="0" fillId="0" borderId="5" xfId="1" applyFont="1" applyBorder="1" applyAlignment="1" applyProtection="1">
      <alignment horizontal="right"/>
    </xf>
    <xf numFmtId="3" fontId="0" fillId="0" borderId="5" xfId="3" applyNumberFormat="1" applyFont="1" applyBorder="1" applyAlignment="1" applyProtection="1"/>
    <xf numFmtId="0" fontId="18" fillId="3" borderId="0" xfId="0" applyFont="1" applyFill="1" applyAlignment="1">
      <alignment horizontal="left" vertical="center"/>
    </xf>
    <xf numFmtId="4" fontId="10" fillId="0" borderId="29" xfId="0" applyNumberFormat="1" applyFont="1" applyBorder="1"/>
    <xf numFmtId="0" fontId="10" fillId="0" borderId="4" xfId="0" applyFont="1" applyBorder="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0" fontId="0" fillId="0" borderId="0" xfId="0" applyAlignment="1">
      <alignment horizontal="left" vertical="center" indent="1"/>
    </xf>
    <xf numFmtId="0" fontId="10" fillId="0" borderId="8" xfId="0" applyFont="1" applyBorder="1" applyAlignment="1">
      <alignment horizontal="right"/>
    </xf>
    <xf numFmtId="167" fontId="10" fillId="0" borderId="8" xfId="0" applyNumberFormat="1" applyFont="1" applyBorder="1" applyAlignment="1">
      <alignment horizontal="right"/>
    </xf>
    <xf numFmtId="165" fontId="55" fillId="0" borderId="0" xfId="0" quotePrefix="1" applyNumberFormat="1" applyFont="1" applyAlignment="1">
      <alignment horizontal="right" vertical="center"/>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31" fillId="0" borderId="0" xfId="0" applyNumberFormat="1" applyFont="1" applyAlignment="1">
      <alignment horizontal="right"/>
    </xf>
    <xf numFmtId="167" fontId="24" fillId="0" borderId="0" xfId="0" applyNumberFormat="1" applyFont="1" applyAlignment="1">
      <alignment horizontal="right"/>
    </xf>
    <xf numFmtId="0" fontId="18" fillId="0" borderId="8" xfId="0" applyFont="1" applyBorder="1" applyAlignment="1">
      <alignment horizontal="right"/>
    </xf>
    <xf numFmtId="167" fontId="17" fillId="0" borderId="0" xfId="0" applyNumberFormat="1" applyFont="1" applyAlignment="1">
      <alignment horizontal="right"/>
    </xf>
    <xf numFmtId="0" fontId="31" fillId="0" borderId="0" xfId="0" applyFont="1" applyAlignment="1">
      <alignment horizontal="right"/>
    </xf>
    <xf numFmtId="3" fontId="10" fillId="0" borderId="0" xfId="3" applyNumberFormat="1" applyFont="1" applyBorder="1" applyAlignment="1" applyProtection="1">
      <alignment horizontal="right"/>
    </xf>
    <xf numFmtId="0" fontId="0" fillId="0" borderId="0" xfId="0" quotePrefix="1" applyAlignment="1">
      <alignment horizontal="right" wrapText="1"/>
    </xf>
    <xf numFmtId="0" fontId="0" fillId="0" borderId="0" xfId="0" applyAlignment="1">
      <alignment horizontal="right" wrapText="1"/>
    </xf>
    <xf numFmtId="0" fontId="41" fillId="0" borderId="0" xfId="0" quotePrefix="1" applyFont="1" applyAlignment="1">
      <alignment horizontal="right"/>
    </xf>
    <xf numFmtId="3" fontId="3" fillId="0" borderId="8" xfId="0" applyNumberFormat="1" applyFont="1" applyBorder="1" applyAlignment="1">
      <alignment horizontal="right"/>
    </xf>
    <xf numFmtId="3" fontId="58" fillId="0" borderId="0" xfId="0" applyNumberFormat="1" applyFont="1" applyAlignment="1">
      <alignment horizontal="left"/>
    </xf>
    <xf numFmtId="167" fontId="57" fillId="0" borderId="0" xfId="0" applyNumberFormat="1" applyFont="1" applyAlignment="1">
      <alignment horizontal="right"/>
    </xf>
    <xf numFmtId="1" fontId="69" fillId="0" borderId="0" xfId="0" applyNumberFormat="1" applyFont="1" applyAlignment="1">
      <alignment horizontal="right"/>
    </xf>
    <xf numFmtId="3" fontId="12" fillId="0" borderId="0" xfId="0" applyNumberFormat="1" applyFont="1" applyAlignment="1">
      <alignment horizontal="center" vertical="center"/>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3" fontId="18" fillId="0" borderId="8" xfId="0" applyNumberFormat="1" applyFont="1" applyBorder="1" applyAlignment="1">
      <alignment horizontal="right"/>
    </xf>
    <xf numFmtId="9" fontId="105" fillId="0" borderId="0" xfId="1" applyFont="1" applyFill="1" applyBorder="1" applyAlignment="1" applyProtection="1">
      <alignment horizontal="right"/>
    </xf>
    <xf numFmtId="9" fontId="0" fillId="0" borderId="5" xfId="0" applyNumberFormat="1" applyBorder="1" applyAlignment="1">
      <alignment horizontal="left" vertical="top"/>
    </xf>
    <xf numFmtId="9" fontId="0" fillId="3" borderId="5" xfId="1" applyFont="1" applyFill="1" applyBorder="1" applyAlignment="1" applyProtection="1">
      <alignment horizontal="lef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9" fontId="0" fillId="3" borderId="4" xfId="1" applyFont="1" applyFill="1" applyBorder="1" applyAlignment="1" applyProtection="1">
      <alignment horizontal="left" vertical="center"/>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67" fillId="0" borderId="0" xfId="0" applyNumberFormat="1" applyFont="1" applyAlignment="1" applyProtection="1">
      <alignment horizontal="left" vertical="center"/>
      <protection locked="0"/>
    </xf>
    <xf numFmtId="3" fontId="0" fillId="0" borderId="0" xfId="0" applyNumberFormat="1" applyAlignment="1">
      <alignment horizontal="left" vertical="center"/>
    </xf>
    <xf numFmtId="0" fontId="0" fillId="0" borderId="0" xfId="0" applyAlignment="1">
      <alignment horizontal="left" vertical="center"/>
    </xf>
    <xf numFmtId="9" fontId="6" fillId="0" borderId="8" xfId="0" applyNumberFormat="1" applyFont="1" applyBorder="1" applyAlignment="1">
      <alignment horizontal="right"/>
    </xf>
    <xf numFmtId="0" fontId="6" fillId="0" borderId="8" xfId="0" applyFont="1" applyBorder="1" applyAlignment="1">
      <alignment horizontal="right"/>
    </xf>
    <xf numFmtId="0" fontId="6" fillId="3" borderId="8" xfId="0" applyFont="1" applyFill="1" applyBorder="1" applyAlignment="1">
      <alignment horizontal="right" vertical="center"/>
    </xf>
    <xf numFmtId="3" fontId="0" fillId="0" borderId="8" xfId="0" applyNumberFormat="1" applyBorder="1" applyAlignment="1">
      <alignment horizontal="left"/>
    </xf>
    <xf numFmtId="0" fontId="0" fillId="0" borderId="8" xfId="0" applyBorder="1" applyAlignment="1">
      <alignment horizontal="left"/>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9" fontId="1" fillId="0" borderId="5" xfId="1" applyFont="1" applyFill="1" applyBorder="1" applyAlignment="1" applyProtection="1">
      <alignment horizontal="center" vertical="center"/>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9" fontId="0" fillId="0" borderId="8" xfId="1" applyFont="1" applyFill="1" applyBorder="1" applyAlignment="1" applyProtection="1">
      <alignment horizontal="right"/>
    </xf>
    <xf numFmtId="3" fontId="10" fillId="0" borderId="0" xfId="0" applyNumberFormat="1" applyFont="1" applyAlignment="1" applyProtection="1">
      <alignment horizontal="left"/>
      <protection locked="0"/>
    </xf>
    <xf numFmtId="3" fontId="10" fillId="3" borderId="58" xfId="0" applyNumberFormat="1" applyFont="1" applyFill="1" applyBorder="1" applyAlignment="1" applyProtection="1">
      <alignment horizontal="right"/>
      <protection locked="0"/>
    </xf>
    <xf numFmtId="9" fontId="63" fillId="0" borderId="0" xfId="1" applyFont="1" applyAlignment="1" applyProtection="1">
      <alignment horizontal="right"/>
    </xf>
    <xf numFmtId="1" fontId="78" fillId="0" borderId="0" xfId="1" applyNumberFormat="1" applyFont="1" applyBorder="1" applyAlignment="1" applyProtection="1">
      <alignment horizontal="right"/>
    </xf>
    <xf numFmtId="9" fontId="65" fillId="3" borderId="7" xfId="1" applyFont="1" applyFill="1" applyBorder="1" applyAlignment="1">
      <alignment horizontal="center"/>
    </xf>
    <xf numFmtId="9" fontId="0" fillId="2" borderId="5"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5" xfId="0" applyNumberFormat="1" applyFill="1" applyBorder="1" applyAlignment="1">
      <alignment horizontal="right" vertical="center"/>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9" fontId="3" fillId="2" borderId="5" xfId="1" applyFont="1" applyFill="1" applyBorder="1" applyAlignment="1" applyProtection="1">
      <alignment horizontal="right" vertical="center"/>
    </xf>
    <xf numFmtId="167" fontId="3" fillId="2" borderId="5" xfId="0" applyNumberFormat="1" applyFont="1" applyFill="1" applyBorder="1" applyAlignment="1">
      <alignment horizontal="right" vertical="center"/>
    </xf>
    <xf numFmtId="3" fontId="0" fillId="2" borderId="5" xfId="0" applyNumberFormat="1" applyFill="1" applyBorder="1" applyAlignment="1">
      <alignment horizontal="left" vertical="center"/>
    </xf>
    <xf numFmtId="9" fontId="0" fillId="2" borderId="1" xfId="1" applyFont="1" applyFill="1" applyBorder="1" applyAlignment="1" applyProtection="1">
      <alignment horizontal="right" vertical="center"/>
    </xf>
    <xf numFmtId="167" fontId="6" fillId="2" borderId="7" xfId="0" applyNumberFormat="1" applyFont="1" applyFill="1" applyBorder="1" applyAlignment="1">
      <alignment horizontal="center" vertical="center"/>
    </xf>
    <xf numFmtId="9" fontId="65" fillId="0" borderId="0" xfId="1" applyFont="1" applyBorder="1" applyAlignment="1">
      <alignment horizontal="right"/>
    </xf>
    <xf numFmtId="4" fontId="0" fillId="0" borderId="0" xfId="0" applyNumberFormat="1" applyAlignment="1">
      <alignment horizontal="right"/>
    </xf>
    <xf numFmtId="0" fontId="0" fillId="2" borderId="0" xfId="0" applyFill="1" applyAlignment="1">
      <alignment horizontal="left" indent="1"/>
    </xf>
    <xf numFmtId="9" fontId="65" fillId="0" borderId="8" xfId="1" applyFont="1" applyBorder="1" applyAlignment="1">
      <alignment horizontal="right"/>
    </xf>
    <xf numFmtId="9" fontId="65" fillId="0" borderId="7" xfId="1" applyFont="1" applyFill="1" applyBorder="1" applyAlignment="1">
      <alignment horizontal="right"/>
    </xf>
    <xf numFmtId="0" fontId="0" fillId="7" borderId="0" xfId="0" applyFill="1" applyAlignment="1">
      <alignment horizontal="center"/>
    </xf>
    <xf numFmtId="0" fontId="10" fillId="2" borderId="0" xfId="0" applyFont="1" applyFill="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9" fontId="0" fillId="2" borderId="5" xfId="1" applyFont="1" applyFill="1" applyBorder="1" applyAlignment="1" applyProtection="1">
      <alignment horizontal="right"/>
    </xf>
    <xf numFmtId="3" fontId="0" fillId="2" borderId="5" xfId="3" applyNumberFormat="1" applyFont="1" applyFill="1" applyBorder="1" applyAlignment="1" applyProtection="1"/>
    <xf numFmtId="0" fontId="0" fillId="2" borderId="59" xfId="0" applyFill="1" applyBorder="1" applyAlignment="1">
      <alignment horizontal="left"/>
    </xf>
    <xf numFmtId="0" fontId="41" fillId="0" borderId="1" xfId="0" applyFont="1" applyBorder="1" applyAlignment="1">
      <alignment horizontal="right"/>
    </xf>
    <xf numFmtId="0" fontId="0" fillId="0" borderId="7" xfId="0" applyBorder="1" applyAlignment="1">
      <alignment horizontal="right"/>
    </xf>
    <xf numFmtId="0" fontId="73" fillId="3" borderId="7" xfId="0" applyFont="1" applyFill="1" applyBorder="1" applyAlignment="1">
      <alignment horizontal="right"/>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18" fillId="0" borderId="0" xfId="0" applyNumberFormat="1" applyFont="1" applyAlignment="1">
      <alignment horizontal="right" vertical="center"/>
    </xf>
    <xf numFmtId="0" fontId="10" fillId="0" borderId="0" xfId="0" quotePrefix="1" applyFont="1" applyAlignment="1">
      <alignment horizontal="left" wrapText="1"/>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2" borderId="0" xfId="0" applyFont="1" applyFill="1" applyAlignment="1">
      <alignment horizontal="center"/>
    </xf>
    <xf numFmtId="9" fontId="0" fillId="2" borderId="1" xfId="1" applyFont="1" applyFill="1" applyBorder="1" applyAlignment="1" applyProtection="1">
      <alignment horizontal="right"/>
    </xf>
    <xf numFmtId="0" fontId="41" fillId="0" borderId="1" xfId="0" quotePrefix="1" applyFont="1" applyBorder="1" applyAlignment="1">
      <alignment horizontal="right"/>
    </xf>
    <xf numFmtId="0" fontId="10" fillId="0" borderId="0" xfId="3" applyNumberFormat="1" applyFont="1" applyBorder="1" applyAlignment="1" applyProtection="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6" fillId="2" borderId="0" xfId="0" applyFont="1" applyFill="1" applyAlignment="1">
      <alignment horizontal="right" vertical="center"/>
    </xf>
    <xf numFmtId="0" fontId="0" fillId="2" borderId="0" xfId="0" applyFill="1" applyAlignment="1">
      <alignment horizontal="right" vertical="center"/>
    </xf>
    <xf numFmtId="0" fontId="0" fillId="0" borderId="7" xfId="0" applyBorder="1" applyAlignment="1">
      <alignment horizontal="left" indent="1"/>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167" fontId="6" fillId="2" borderId="8" xfId="0" applyNumberFormat="1" applyFont="1" applyFill="1" applyBorder="1" applyAlignment="1">
      <alignment horizontal="right" vertical="center"/>
    </xf>
    <xf numFmtId="0" fontId="0" fillId="2" borderId="0" xfId="0" applyFill="1" applyAlignment="1">
      <alignment horizontal="left" vertical="center" indent="1"/>
    </xf>
    <xf numFmtId="0" fontId="10" fillId="2" borderId="0" xfId="0" applyFont="1" applyFill="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3" fontId="1" fillId="0" borderId="2" xfId="0" applyNumberFormat="1" applyFont="1" applyBorder="1" applyAlignment="1" applyProtection="1">
      <alignment horizontal="left" vertical="center"/>
      <protection locked="0"/>
    </xf>
    <xf numFmtId="167" fontId="0" fillId="2" borderId="0" xfId="0" applyNumberFormat="1" applyFill="1" applyAlignment="1">
      <alignment horizontal="center" vertical="center"/>
    </xf>
    <xf numFmtId="3" fontId="18" fillId="0" borderId="54" xfId="3" applyNumberFormat="1" applyFont="1" applyBorder="1" applyAlignment="1" applyProtection="1">
      <alignment horizontal="right"/>
    </xf>
    <xf numFmtId="0" fontId="73" fillId="3" borderId="7" xfId="0" applyFont="1" applyFill="1" applyBorder="1" applyAlignment="1">
      <alignment horizontal="center"/>
    </xf>
    <xf numFmtId="0" fontId="0" fillId="3" borderId="0" xfId="0" applyFill="1" applyAlignment="1">
      <alignment horizontal="right"/>
    </xf>
    <xf numFmtId="3" fontId="3" fillId="0" borderId="1" xfId="0" applyNumberFormat="1" applyFont="1" applyBorder="1" applyAlignment="1">
      <alignment horizontal="righ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4" borderId="5"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xf>
    <xf numFmtId="0" fontId="0" fillId="17" borderId="5" xfId="0" applyFill="1" applyBorder="1" applyAlignment="1">
      <alignment horizontal="right"/>
    </xf>
    <xf numFmtId="0" fontId="3" fillId="2" borderId="1" xfId="0" applyFont="1" applyFill="1" applyBorder="1" applyAlignment="1">
      <alignment horizontal="right"/>
    </xf>
    <xf numFmtId="9" fontId="0" fillId="0" borderId="0" xfId="0" applyNumberFormat="1" applyAlignment="1">
      <alignment horizontal="left"/>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0" fontId="0" fillId="0" borderId="1" xfId="0" applyBorder="1" applyAlignment="1">
      <alignment horizontal="righ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3" fillId="0" borderId="5" xfId="0" applyFont="1" applyBorder="1" applyAlignment="1">
      <alignment horizontal="right"/>
    </xf>
    <xf numFmtId="177" fontId="0" fillId="0" borderId="5" xfId="0" applyNumberFormat="1" applyBorder="1" applyAlignment="1">
      <alignment horizontal="right"/>
    </xf>
    <xf numFmtId="4" fontId="0" fillId="0" borderId="5" xfId="0" applyNumberFormat="1" applyBorder="1" applyAlignment="1">
      <alignment horizontal="right" vertical="center"/>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xf>
    <xf numFmtId="0" fontId="0" fillId="0" borderId="1" xfId="0" applyBorder="1" applyAlignment="1">
      <alignment horizontal="left" vertical="top" wrapText="1"/>
    </xf>
    <xf numFmtId="171" fontId="0" fillId="0" borderId="5" xfId="0" applyNumberFormat="1" applyBorder="1" applyAlignment="1">
      <alignment horizontal="right"/>
    </xf>
    <xf numFmtId="164" fontId="0" fillId="0" borderId="1" xfId="0" applyNumberFormat="1" applyBorder="1" applyAlignment="1">
      <alignment horizontal="right" vertical="center"/>
    </xf>
    <xf numFmtId="3" fontId="0" fillId="0" borderId="5" xfId="0" applyNumberFormat="1" applyBorder="1" applyAlignment="1">
      <alignment horizontal="right" vertical="center"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3" fontId="2" fillId="0" borderId="0" xfId="0" applyNumberFormat="1" applyFont="1" applyAlignment="1">
      <alignment horizontal="right" vertical="center"/>
    </xf>
    <xf numFmtId="0" fontId="2" fillId="0" borderId="0" xfId="0" applyFont="1" applyAlignment="1">
      <alignment horizontal="right" vertical="center"/>
    </xf>
    <xf numFmtId="0" fontId="91" fillId="0" borderId="0" xfId="0" applyFont="1" applyAlignment="1">
      <alignment horizontal="center"/>
    </xf>
    <xf numFmtId="0" fontId="0" fillId="0" borderId="0" xfId="0" applyAlignment="1">
      <alignment horizontal="right" vertical="top"/>
    </xf>
    <xf numFmtId="3" fontId="0" fillId="0" borderId="0" xfId="0" applyNumberFormat="1" applyAlignment="1">
      <alignment horizontal="right" vertical="top" wrapText="1" shrinkToFit="1"/>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72" fillId="0" borderId="0" xfId="0" applyNumberFormat="1" applyFont="1" applyAlignment="1">
      <alignment horizontal="right" vertical="center"/>
    </xf>
    <xf numFmtId="0" fontId="0" fillId="0" borderId="0" xfId="0" applyAlignment="1">
      <alignment horizontal="right" vertical="top" wrapText="1"/>
    </xf>
    <xf numFmtId="3" fontId="2" fillId="0" borderId="0" xfId="0" applyNumberFormat="1" applyFont="1" applyAlignment="1">
      <alignment horizontal="right" vertical="top" wrapText="1" shrinkToFit="1"/>
    </xf>
    <xf numFmtId="0" fontId="0" fillId="0" borderId="5" xfId="0" applyBorder="1" applyAlignment="1">
      <alignment horizontal="right" vertical="center"/>
    </xf>
    <xf numFmtId="2" fontId="0" fillId="0" borderId="1" xfId="0" applyNumberFormat="1" applyBorder="1" applyAlignment="1">
      <alignment horizontal="right" vertical="center"/>
    </xf>
    <xf numFmtId="9" fontId="0" fillId="0" borderId="1" xfId="0" applyNumberFormat="1" applyBorder="1" applyAlignment="1">
      <alignment horizontal="right" vertical="center"/>
    </xf>
    <xf numFmtId="3" fontId="0" fillId="0" borderId="5" xfId="0" applyNumberFormat="1" applyBorder="1" applyAlignment="1">
      <alignment horizontal="right" vertical="top" wrapText="1"/>
    </xf>
    <xf numFmtId="172" fontId="0" fillId="0" borderId="5" xfId="0" applyNumberFormat="1" applyBorder="1" applyAlignment="1">
      <alignment horizontal="right" vertical="center"/>
    </xf>
    <xf numFmtId="171" fontId="3" fillId="0" borderId="5" xfId="0" applyNumberFormat="1" applyFont="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171" fontId="0" fillId="4" borderId="5" xfId="0" applyNumberFormat="1" applyFill="1" applyBorder="1" applyAlignment="1">
      <alignment horizontal="right"/>
    </xf>
    <xf numFmtId="175" fontId="0" fillId="0" borderId="5" xfId="0" applyNumberFormat="1" applyBorder="1" applyAlignment="1">
      <alignment horizontal="right"/>
    </xf>
    <xf numFmtId="0" fontId="63" fillId="0" borderId="5" xfId="0" applyFont="1" applyBorder="1" applyAlignment="1">
      <alignment horizontal="right"/>
    </xf>
    <xf numFmtId="4" fontId="0" fillId="0" borderId="1" xfId="0" applyNumberFormat="1" applyBorder="1" applyAlignment="1">
      <alignment horizontal="right" wrapText="1"/>
    </xf>
    <xf numFmtId="0" fontId="0" fillId="0" borderId="1" xfId="0" applyBorder="1" applyAlignment="1">
      <alignment horizontal="left" vertical="center"/>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2" fontId="1" fillId="0" borderId="2" xfId="0" applyNumberFormat="1" applyFont="1" applyBorder="1" applyAlignment="1" applyProtection="1">
      <alignment horizontal="right" wrapText="1"/>
      <protection locked="0"/>
    </xf>
    <xf numFmtId="9" fontId="17" fillId="0" borderId="1" xfId="1" applyFont="1" applyBorder="1" applyAlignment="1" applyProtection="1">
      <alignment horizontal="right" vertical="center"/>
    </xf>
    <xf numFmtId="0" fontId="16" fillId="0" borderId="27" xfId="0" applyFont="1" applyBorder="1" applyAlignment="1">
      <alignment horizontal="right" vertical="center"/>
    </xf>
    <xf numFmtId="1"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168" fontId="2" fillId="0" borderId="0" xfId="0" applyNumberFormat="1" applyFont="1" applyAlignment="1">
      <alignment horizontal="righ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2"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9" fontId="90" fillId="0" borderId="0" xfId="1" applyFont="1" applyFill="1" applyBorder="1" applyAlignment="1" applyProtection="1">
      <alignment horizontal="right" vertical="center"/>
    </xf>
    <xf numFmtId="168" fontId="2" fillId="0" borderId="8" xfId="0" applyNumberFormat="1" applyFont="1" applyBorder="1" applyAlignment="1">
      <alignment horizontal="right"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0" fontId="40" fillId="2" borderId="0" xfId="0" applyFont="1" applyFill="1" applyAlignment="1">
      <alignment horizontal="lef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167" fontId="0" fillId="0" borderId="1" xfId="0" applyNumberFormat="1" applyBorder="1" applyAlignment="1">
      <alignment horizontal="right"/>
    </xf>
    <xf numFmtId="0" fontId="10" fillId="0" borderId="0" xfId="0" applyFont="1" applyAlignment="1">
      <alignment horizontal="center"/>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0" fontId="93" fillId="0" borderId="0" xfId="2" quotePrefix="1" applyFont="1" applyAlignment="1" applyProtection="1">
      <alignment horizontal="left"/>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68" fontId="2" fillId="0" borderId="0" xfId="0" applyNumberFormat="1" applyFont="1" applyAlignment="1">
      <alignment horizontal="center" vertical="center"/>
    </xf>
    <xf numFmtId="174" fontId="2" fillId="0" borderId="0" xfId="0" applyNumberFormat="1" applyFont="1" applyAlignment="1">
      <alignment horizontal="right" vertical="center"/>
    </xf>
    <xf numFmtId="0" fontId="0" fillId="5" borderId="0" xfId="0" applyFill="1" applyAlignment="1">
      <alignment horizontal="right" vertical="center"/>
    </xf>
    <xf numFmtId="168" fontId="1"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xf numFmtId="168" fontId="0" fillId="0" borderId="0" xfId="0" applyNumberFormat="1" applyAlignment="1">
      <alignment horizontal="right" vertical="top"/>
    </xf>
    <xf numFmtId="168" fontId="0" fillId="0" borderId="0" xfId="0" applyNumberFormat="1" applyAlignment="1">
      <alignment horizontal="right"/>
    </xf>
    <xf numFmtId="0" fontId="26" fillId="0" borderId="27" xfId="0" applyFont="1" applyBorder="1" applyAlignment="1">
      <alignment horizontal="left" vertical="center"/>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0" fontId="0" fillId="0" borderId="0" xfId="0" quotePrefix="1" applyAlignment="1">
      <alignment horizontal="left" wrapText="1"/>
    </xf>
    <xf numFmtId="168" fontId="3" fillId="0" borderId="47" xfId="0" applyNumberFormat="1" applyFont="1" applyBorder="1" applyAlignment="1">
      <alignment horizontal="right"/>
    </xf>
    <xf numFmtId="168" fontId="3" fillId="0" borderId="8" xfId="0" applyNumberFormat="1" applyFont="1" applyBorder="1" applyAlignment="1">
      <alignment horizontal="right"/>
    </xf>
    <xf numFmtId="0" fontId="63" fillId="0" borderId="46" xfId="0" applyFont="1" applyBorder="1" applyAlignment="1">
      <alignment vertical="top" wrapText="1"/>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3" fontId="3" fillId="0" borderId="47" xfId="0" applyNumberFormat="1" applyFont="1" applyBorder="1" applyAlignment="1">
      <alignment horizontal="right"/>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268" zoomScale="125" zoomScaleNormal="125" zoomScalePageLayoutView="125" workbookViewId="0">
      <selection activeCell="F296" sqref="F296"/>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0</v>
      </c>
      <c r="F8" s="911">
        <f>IF(F12=C12,1,0)</f>
        <v>0</v>
      </c>
      <c r="G8" s="911">
        <f>IF(C12=G12,1,0)</f>
        <v>1</v>
      </c>
    </row>
    <row r="9" spans="1:9" ht="3" customHeight="1" x14ac:dyDescent="0.15"/>
    <row r="10" spans="1:9" x14ac:dyDescent="0.15">
      <c r="E10" s="912"/>
      <c r="F10" s="912"/>
      <c r="G10" s="912"/>
      <c r="H10" s="912"/>
      <c r="I10" s="912"/>
    </row>
    <row r="12" spans="1:9" x14ac:dyDescent="0.15">
      <c r="C12" s="905" t="str">
        <f>'1 System specification'!M2</f>
        <v>Italiano</v>
      </c>
      <c r="E12" s="913" t="s">
        <v>10</v>
      </c>
      <c r="F12" s="914" t="s">
        <v>1864</v>
      </c>
      <c r="G12" s="915" t="s">
        <v>11</v>
      </c>
      <c r="I12" s="916"/>
    </row>
    <row r="14" spans="1:9" ht="23" x14ac:dyDescent="0.15">
      <c r="A14" s="618">
        <v>1</v>
      </c>
      <c r="B14" s="917"/>
      <c r="C14" s="918" t="str">
        <f t="shared" ref="C14:C77" si="0">IF(C$12=F$12,F14,IF(C$12=G$12,G14,E14))</f>
        <v>prova</v>
      </c>
      <c r="D14" s="919"/>
      <c r="E14" s="920" t="s">
        <v>312</v>
      </c>
      <c r="F14" s="921" t="s">
        <v>427</v>
      </c>
      <c r="G14" s="922" t="s">
        <v>428</v>
      </c>
      <c r="I14" s="919"/>
    </row>
    <row r="15" spans="1:9" s="927" customFormat="1" ht="32" x14ac:dyDescent="0.15">
      <c r="A15" s="618">
        <v>2</v>
      </c>
      <c r="B15" s="917"/>
      <c r="C15" s="918" t="str">
        <f t="shared" si="0"/>
        <v>(tutti i valori di kg CO2 sono valori equivalenti di kg CO2)</v>
      </c>
      <c r="D15" s="923"/>
      <c r="E15" s="924" t="s">
        <v>255</v>
      </c>
      <c r="F15" s="925" t="s">
        <v>431</v>
      </c>
      <c r="G15" s="926" t="s">
        <v>1311</v>
      </c>
      <c r="I15" s="923"/>
    </row>
    <row r="16" spans="1:9" s="927" customFormat="1" ht="23" x14ac:dyDescent="0.15">
      <c r="A16" s="618">
        <v>3</v>
      </c>
      <c r="B16" s="917"/>
      <c r="C16" s="918" t="str">
        <f t="shared" si="0"/>
        <v>(freddo prodotto / Consumo totale di elettricità)</v>
      </c>
      <c r="D16" s="923"/>
      <c r="E16" s="924" t="s">
        <v>141</v>
      </c>
      <c r="F16" s="925" t="s">
        <v>675</v>
      </c>
      <c r="G16" s="926" t="s">
        <v>1312</v>
      </c>
      <c r="I16" s="923"/>
    </row>
    <row r="17" spans="1:9" s="927" customFormat="1" ht="23" x14ac:dyDescent="0.15">
      <c r="A17" s="618">
        <v>4</v>
      </c>
      <c r="B17" s="917"/>
      <c r="C17" s="918" t="str">
        <f t="shared" si="0"/>
        <v>(Sovra)dimensionamento</v>
      </c>
      <c r="D17" s="923"/>
      <c r="E17" s="924" t="s">
        <v>121</v>
      </c>
      <c r="F17" s="925" t="s">
        <v>432</v>
      </c>
      <c r="G17" s="926" t="s">
        <v>1313</v>
      </c>
      <c r="I17" s="923"/>
    </row>
    <row r="18" spans="1:9" s="927" customFormat="1" ht="28" x14ac:dyDescent="0.15">
      <c r="A18" s="928">
        <v>5</v>
      </c>
      <c r="B18" s="917"/>
      <c r="C18" s="918" t="str">
        <f t="shared" si="0"/>
        <v>2A: Calcolo del fabbisogno di elettricità</v>
      </c>
      <c r="D18" s="923"/>
      <c r="E18" s="929" t="s">
        <v>1709</v>
      </c>
      <c r="F18" s="925" t="s">
        <v>1239</v>
      </c>
      <c r="G18" s="926" t="s">
        <v>1234</v>
      </c>
      <c r="I18" s="923"/>
    </row>
    <row r="19" spans="1:9" s="927" customFormat="1" ht="28" x14ac:dyDescent="0.15">
      <c r="A19" s="928">
        <v>6</v>
      </c>
      <c r="B19" s="917"/>
      <c r="C19" s="918" t="str">
        <f t="shared" si="0"/>
        <v>2B: Calcolo del fabbisogno di elettricità per semplici impianti di climatizzazione comfort</v>
      </c>
      <c r="D19" s="923"/>
      <c r="E19" s="929" t="s">
        <v>1610</v>
      </c>
      <c r="F19" s="925" t="s">
        <v>1240</v>
      </c>
      <c r="G19" s="926" t="s">
        <v>1235</v>
      </c>
      <c r="I19" s="923"/>
    </row>
    <row r="20" spans="1:9" s="927" customFormat="1" ht="26" customHeight="1" x14ac:dyDescent="0.15">
      <c r="A20" s="618">
        <v>7</v>
      </c>
      <c r="B20" s="917"/>
      <c r="C20" s="918" t="str">
        <f t="shared" si="0"/>
        <v>B: Impianto con 3'500 ore di funz. a pieno regime all'anno</v>
      </c>
      <c r="D20" s="923"/>
      <c r="E20" s="924" t="s">
        <v>793</v>
      </c>
      <c r="F20" s="925" t="s">
        <v>1059</v>
      </c>
      <c r="G20" s="930" t="s">
        <v>1060</v>
      </c>
      <c r="I20" s="923"/>
    </row>
    <row r="21" spans="1:9" s="927" customFormat="1" ht="56" x14ac:dyDescent="0.15">
      <c r="A21" s="618">
        <v>8</v>
      </c>
      <c r="B21" s="917"/>
      <c r="C21" s="918" t="str">
        <f t="shared" si="0"/>
        <v>Strumento per prognosi di consumo elettrico, impatto ambientale e costo del ciclo di vita per impianti di refrigerazione e climatizzazione</v>
      </c>
      <c r="D21" s="923"/>
      <c r="E21" s="924" t="s">
        <v>1269</v>
      </c>
      <c r="F21" s="925" t="s">
        <v>733</v>
      </c>
      <c r="G21" s="930" t="s">
        <v>734</v>
      </c>
      <c r="I21" s="923"/>
    </row>
    <row r="22" spans="1:9" s="927" customFormat="1" ht="23" x14ac:dyDescent="0.15">
      <c r="A22" s="618">
        <v>10</v>
      </c>
      <c r="B22" s="917"/>
      <c r="C22" s="918" t="str">
        <f t="shared" si="0"/>
        <v>Discrepanza rispetto al valore previsto</v>
      </c>
      <c r="D22" s="923"/>
      <c r="E22" s="924" t="s">
        <v>1065</v>
      </c>
      <c r="F22" s="925" t="s">
        <v>433</v>
      </c>
      <c r="G22" s="926" t="s">
        <v>1314</v>
      </c>
      <c r="I22" s="923"/>
    </row>
    <row r="23" spans="1:9" s="927" customFormat="1" ht="23" x14ac:dyDescent="0.15">
      <c r="A23" s="618">
        <v>13</v>
      </c>
      <c r="B23" s="917"/>
      <c r="C23" s="918" t="str">
        <f t="shared" si="0"/>
        <v>Carica di riemplemento dell'impianto</v>
      </c>
      <c r="D23" s="923"/>
      <c r="E23" s="924" t="s">
        <v>18</v>
      </c>
      <c r="F23" s="925" t="s">
        <v>676</v>
      </c>
      <c r="G23" s="926" t="s">
        <v>1315</v>
      </c>
      <c r="I23" s="923"/>
    </row>
    <row r="24" spans="1:9" s="927" customFormat="1" ht="23" x14ac:dyDescent="0.15">
      <c r="A24" s="618">
        <v>14</v>
      </c>
      <c r="B24" s="917"/>
      <c r="C24" s="918" t="str">
        <f t="shared" si="0"/>
        <v>Progetto dell'impianto</v>
      </c>
      <c r="D24" s="923"/>
      <c r="E24" s="924" t="s">
        <v>171</v>
      </c>
      <c r="F24" s="925" t="s">
        <v>434</v>
      </c>
      <c r="G24" s="926" t="s">
        <v>1316</v>
      </c>
      <c r="I24" s="923"/>
    </row>
    <row r="25" spans="1:9" s="927" customFormat="1" ht="23" x14ac:dyDescent="0.15">
      <c r="A25" s="618">
        <v>15</v>
      </c>
      <c r="B25" s="917"/>
      <c r="C25" s="918" t="str">
        <f t="shared" si="0"/>
        <v>Specifiche dell'impianto</v>
      </c>
      <c r="D25" s="923"/>
      <c r="E25" s="924" t="s">
        <v>324</v>
      </c>
      <c r="F25" s="925" t="s">
        <v>435</v>
      </c>
      <c r="G25" s="930" t="s">
        <v>1726</v>
      </c>
      <c r="I25" s="923"/>
    </row>
    <row r="26" spans="1:9" s="927" customFormat="1" ht="23" x14ac:dyDescent="0.15">
      <c r="A26" s="618">
        <v>17</v>
      </c>
      <c r="B26" s="917"/>
      <c r="C26" s="918" t="str">
        <f t="shared" si="0"/>
        <v>Tipo di impianto</v>
      </c>
      <c r="D26" s="923"/>
      <c r="E26" s="924" t="s">
        <v>14</v>
      </c>
      <c r="F26" s="925" t="s">
        <v>436</v>
      </c>
      <c r="G26" s="926" t="s">
        <v>1317</v>
      </c>
      <c r="I26" s="923"/>
    </row>
    <row r="27" spans="1:9" s="927" customFormat="1" ht="23" x14ac:dyDescent="0.15">
      <c r="A27" s="618">
        <v>19</v>
      </c>
      <c r="B27" s="917"/>
      <c r="C27" s="918" t="str">
        <f t="shared" si="0"/>
        <v>Approvazione del progettista per il progetto</v>
      </c>
      <c r="D27" s="923"/>
      <c r="E27" s="924" t="s">
        <v>1066</v>
      </c>
      <c r="F27" s="925" t="s">
        <v>437</v>
      </c>
      <c r="G27" s="926" t="s">
        <v>1318</v>
      </c>
      <c r="I27" s="923"/>
    </row>
    <row r="28" spans="1:9" s="927" customFormat="1" ht="23" x14ac:dyDescent="0.15">
      <c r="A28" s="618">
        <v>20</v>
      </c>
      <c r="B28" s="917"/>
      <c r="C28" s="918" t="str">
        <f t="shared" si="0"/>
        <v>Valutazione progettisti</v>
      </c>
      <c r="D28" s="923"/>
      <c r="E28" s="924" t="s">
        <v>93</v>
      </c>
      <c r="F28" s="925" t="s">
        <v>438</v>
      </c>
      <c r="G28" s="930" t="s">
        <v>1029</v>
      </c>
      <c r="I28" s="923"/>
    </row>
    <row r="29" spans="1:9" s="927" customFormat="1" ht="23" x14ac:dyDescent="0.15">
      <c r="A29" s="618">
        <v>23</v>
      </c>
      <c r="B29" s="917"/>
      <c r="C29" s="918" t="str">
        <f t="shared" si="0"/>
        <v>Utilizzo</v>
      </c>
      <c r="D29" s="923"/>
      <c r="E29" s="924" t="s">
        <v>265</v>
      </c>
      <c r="F29" s="925" t="s">
        <v>439</v>
      </c>
      <c r="G29" s="926" t="s">
        <v>658</v>
      </c>
      <c r="I29" s="923"/>
    </row>
    <row r="30" spans="1:9" s="927" customFormat="1" ht="23" x14ac:dyDescent="0.15">
      <c r="A30" s="618">
        <v>24</v>
      </c>
      <c r="B30" s="917"/>
      <c r="C30" s="918" t="str">
        <f t="shared" si="0"/>
        <v>Numero camion</v>
      </c>
      <c r="D30" s="923"/>
      <c r="E30" s="924" t="s">
        <v>81</v>
      </c>
      <c r="F30" s="925" t="s">
        <v>440</v>
      </c>
      <c r="G30" s="926" t="s">
        <v>1319</v>
      </c>
      <c r="I30" s="923"/>
    </row>
    <row r="31" spans="1:9" s="927" customFormat="1" ht="23" x14ac:dyDescent="0.15">
      <c r="A31" s="618">
        <v>25</v>
      </c>
      <c r="B31" s="917"/>
      <c r="C31" s="918" t="str">
        <f t="shared" si="0"/>
        <v xml:space="preserve">Numero varianti </v>
      </c>
      <c r="D31" s="923"/>
      <c r="E31" s="924" t="s">
        <v>245</v>
      </c>
      <c r="F31" s="925" t="s">
        <v>441</v>
      </c>
      <c r="G31" s="926" t="s">
        <v>1320</v>
      </c>
      <c r="I31" s="923"/>
    </row>
    <row r="32" spans="1:9" s="927" customFormat="1" ht="23" x14ac:dyDescent="0.15">
      <c r="A32" s="618">
        <v>26</v>
      </c>
      <c r="B32" s="917"/>
      <c r="C32" s="918" t="str">
        <f t="shared" si="0"/>
        <v>Numero compressori</v>
      </c>
      <c r="D32" s="923"/>
      <c r="E32" s="924" t="s">
        <v>170</v>
      </c>
      <c r="F32" s="925" t="s">
        <v>442</v>
      </c>
      <c r="G32" s="926" t="s">
        <v>1321</v>
      </c>
      <c r="I32" s="923"/>
    </row>
    <row r="33" spans="1:9" s="927" customFormat="1" ht="23" x14ac:dyDescent="0.15">
      <c r="A33" s="618">
        <v>28</v>
      </c>
      <c r="B33" s="917"/>
      <c r="C33" s="918" t="str">
        <f t="shared" si="0"/>
        <v>Riempito da</v>
      </c>
      <c r="D33" s="923"/>
      <c r="E33" s="924" t="s">
        <v>263</v>
      </c>
      <c r="F33" s="925" t="s">
        <v>443</v>
      </c>
      <c r="G33" s="926" t="s">
        <v>1322</v>
      </c>
      <c r="I33" s="923"/>
    </row>
    <row r="34" spans="1:9" s="927" customFormat="1" ht="23" x14ac:dyDescent="0.15">
      <c r="A34" s="618">
        <v>29</v>
      </c>
      <c r="B34" s="917"/>
      <c r="C34" s="918" t="str">
        <f t="shared" si="0"/>
        <v>Scelta dell'impianto di refrigerazione</v>
      </c>
      <c r="D34" s="923"/>
      <c r="E34" s="924" t="s">
        <v>309</v>
      </c>
      <c r="F34" s="925" t="s">
        <v>444</v>
      </c>
      <c r="G34" s="926" t="s">
        <v>1323</v>
      </c>
      <c r="I34" s="923"/>
    </row>
    <row r="35" spans="1:9" s="927" customFormat="1" ht="23" x14ac:dyDescent="0.15">
      <c r="A35" s="618">
        <v>30</v>
      </c>
      <c r="B35" s="917"/>
      <c r="C35" s="918" t="str">
        <f t="shared" si="0"/>
        <v xml:space="preserve">Temperatura esterna </v>
      </c>
      <c r="D35" s="923"/>
      <c r="E35" s="924" t="s">
        <v>259</v>
      </c>
      <c r="F35" s="925" t="s">
        <v>445</v>
      </c>
      <c r="G35" s="926" t="s">
        <v>1324</v>
      </c>
      <c r="I35" s="923"/>
    </row>
    <row r="36" spans="1:9" s="927" customFormat="1" ht="23" x14ac:dyDescent="0.15">
      <c r="A36" s="618">
        <v>31</v>
      </c>
      <c r="B36" s="917"/>
      <c r="C36" s="918" t="str">
        <f t="shared" si="0"/>
        <v>Temperatura esterna (5:40 - 17:40 h)</v>
      </c>
      <c r="D36" s="923"/>
      <c r="E36" s="924" t="s">
        <v>1788</v>
      </c>
      <c r="F36" s="925" t="s">
        <v>1789</v>
      </c>
      <c r="G36" s="930" t="s">
        <v>1790</v>
      </c>
      <c r="I36" s="923"/>
    </row>
    <row r="37" spans="1:9" s="927" customFormat="1" ht="32" x14ac:dyDescent="0.15">
      <c r="A37" s="618">
        <v>35</v>
      </c>
      <c r="B37" s="917"/>
      <c r="C37" s="918" t="str">
        <f t="shared" si="0"/>
        <v>C: Impianto con 5'000 ore di funz. a pieno regime all'anno</v>
      </c>
      <c r="D37" s="923"/>
      <c r="E37" s="924" t="s">
        <v>792</v>
      </c>
      <c r="F37" s="925" t="s">
        <v>1057</v>
      </c>
      <c r="G37" s="930" t="s">
        <v>1058</v>
      </c>
      <c r="I37" s="923"/>
    </row>
    <row r="38" spans="1:9" s="927" customFormat="1" ht="23" x14ac:dyDescent="0.15">
      <c r="A38" s="618">
        <v>36</v>
      </c>
      <c r="B38" s="917"/>
      <c r="C38" s="918" t="str">
        <f t="shared" si="0"/>
        <v>Basilea</v>
      </c>
      <c r="D38" s="923"/>
      <c r="E38" s="924" t="s">
        <v>104</v>
      </c>
      <c r="F38" s="925" t="s">
        <v>342</v>
      </c>
      <c r="G38" s="931" t="s">
        <v>1325</v>
      </c>
      <c r="I38" s="923"/>
    </row>
    <row r="39" spans="1:9" s="927" customFormat="1" ht="23" x14ac:dyDescent="0.15">
      <c r="A39" s="618">
        <v>37</v>
      </c>
      <c r="B39" s="917"/>
      <c r="C39" s="918" t="str">
        <f t="shared" si="0"/>
        <v>Modello</v>
      </c>
      <c r="D39" s="923"/>
      <c r="E39" s="924" t="s">
        <v>277</v>
      </c>
      <c r="F39" s="925" t="s">
        <v>446</v>
      </c>
      <c r="G39" s="926" t="s">
        <v>1326</v>
      </c>
      <c r="I39" s="923"/>
    </row>
    <row r="40" spans="1:9" s="927" customFormat="1" ht="23" x14ac:dyDescent="0.15">
      <c r="A40" s="618">
        <v>39</v>
      </c>
      <c r="B40" s="917"/>
      <c r="C40" s="918" t="str">
        <f t="shared" si="0"/>
        <v>Impatto</v>
      </c>
      <c r="D40" s="923"/>
      <c r="E40" s="924" t="s">
        <v>190</v>
      </c>
      <c r="F40" s="925" t="s">
        <v>447</v>
      </c>
      <c r="G40" s="926" t="s">
        <v>1327</v>
      </c>
      <c r="I40" s="923"/>
    </row>
    <row r="41" spans="1:9" s="927" customFormat="1" ht="23" x14ac:dyDescent="0.15">
      <c r="A41" s="618">
        <v>41</v>
      </c>
      <c r="B41" s="917"/>
      <c r="C41" s="918" t="str">
        <f t="shared" si="0"/>
        <v>Impatto comando</v>
      </c>
      <c r="D41" s="923"/>
      <c r="E41" s="924" t="s">
        <v>196</v>
      </c>
      <c r="F41" s="925" t="s">
        <v>715</v>
      </c>
      <c r="G41" s="926" t="s">
        <v>1328</v>
      </c>
      <c r="I41" s="923"/>
    </row>
    <row r="42" spans="1:9" s="927" customFormat="1" ht="23" x14ac:dyDescent="0.15">
      <c r="A42" s="618">
        <v>42</v>
      </c>
      <c r="B42" s="917"/>
      <c r="C42" s="918" t="str">
        <f t="shared" si="0"/>
        <v>comando in base al fabbisogno (FU)</v>
      </c>
      <c r="D42" s="923"/>
      <c r="E42" s="924" t="s">
        <v>112</v>
      </c>
      <c r="F42" s="925" t="s">
        <v>448</v>
      </c>
      <c r="G42" s="930" t="s">
        <v>1270</v>
      </c>
      <c r="I42" s="923"/>
    </row>
    <row r="43" spans="1:9" s="927" customFormat="1" ht="23" x14ac:dyDescent="0.15">
      <c r="A43" s="618">
        <v>44</v>
      </c>
      <c r="B43" s="917"/>
      <c r="C43" s="918" t="str">
        <f t="shared" si="0"/>
        <v>Osservazioni</v>
      </c>
      <c r="D43" s="923"/>
      <c r="E43" s="924" t="s">
        <v>3</v>
      </c>
      <c r="F43" s="925" t="s">
        <v>449</v>
      </c>
      <c r="G43" s="926" t="s">
        <v>657</v>
      </c>
      <c r="I43" s="923"/>
    </row>
    <row r="44" spans="1:9" s="927" customFormat="1" ht="23" x14ac:dyDescent="0.15">
      <c r="A44" s="618">
        <v>47</v>
      </c>
      <c r="B44" s="917"/>
      <c r="C44" s="918" t="str">
        <f t="shared" si="0"/>
        <v>Calcolo</v>
      </c>
      <c r="D44" s="923"/>
      <c r="E44" s="924" t="s">
        <v>69</v>
      </c>
      <c r="F44" s="925" t="s">
        <v>450</v>
      </c>
      <c r="G44" s="926" t="s">
        <v>1329</v>
      </c>
      <c r="I44" s="923"/>
    </row>
    <row r="45" spans="1:9" s="927" customFormat="1" ht="32" x14ac:dyDescent="0.15">
      <c r="A45" s="618">
        <v>48</v>
      </c>
      <c r="B45" s="917"/>
      <c r="C45" s="918" t="str">
        <f t="shared" si="0"/>
        <v>Calcolo delle emissioni di CO2 in base al consumo di elettricità dell'impianto di refrigerazione</v>
      </c>
      <c r="D45" s="923"/>
      <c r="E45" s="924" t="s">
        <v>305</v>
      </c>
      <c r="F45" s="925" t="s">
        <v>677</v>
      </c>
      <c r="G45" s="926" t="s">
        <v>1330</v>
      </c>
      <c r="I45" s="923"/>
    </row>
    <row r="46" spans="1:9" s="927" customFormat="1" ht="23" x14ac:dyDescent="0.15">
      <c r="A46" s="618">
        <v>49</v>
      </c>
      <c r="B46" s="917"/>
      <c r="C46" s="918" t="str">
        <f t="shared" si="0"/>
        <v>Calcolo delle emissioni di CO2 dovuto alle perdite</v>
      </c>
      <c r="D46" s="923"/>
      <c r="E46" s="924" t="s">
        <v>303</v>
      </c>
      <c r="F46" s="925" t="s">
        <v>451</v>
      </c>
      <c r="G46" s="926" t="s">
        <v>1331</v>
      </c>
      <c r="I46" s="923"/>
    </row>
    <row r="47" spans="1:9" s="927" customFormat="1" ht="32" x14ac:dyDescent="0.15">
      <c r="A47" s="618">
        <v>50</v>
      </c>
      <c r="B47" s="917"/>
      <c r="C47" s="918" t="str">
        <f t="shared" si="0"/>
        <v>Calcolo delle emissioni di CO2 dovuto a perdite nel recupero del refrigerante</v>
      </c>
      <c r="D47" s="923"/>
      <c r="E47" s="924" t="s">
        <v>304</v>
      </c>
      <c r="F47" s="925" t="s">
        <v>452</v>
      </c>
      <c r="G47" s="926" t="s">
        <v>1332</v>
      </c>
      <c r="I47" s="923"/>
    </row>
    <row r="48" spans="1:9" s="927" customFormat="1" ht="23" x14ac:dyDescent="0.15">
      <c r="A48" s="928">
        <v>51</v>
      </c>
      <c r="B48" s="917"/>
      <c r="C48" s="918" t="str">
        <f t="shared" si="0"/>
        <v>Calcolo con il tool del freddo</v>
      </c>
      <c r="D48" s="923"/>
      <c r="E48" s="924" t="s">
        <v>978</v>
      </c>
      <c r="F48" s="925" t="s">
        <v>1241</v>
      </c>
      <c r="G48" s="930" t="s">
        <v>1236</v>
      </c>
      <c r="I48" s="923"/>
    </row>
    <row r="49" spans="1:9" s="927" customFormat="1" ht="23" x14ac:dyDescent="0.15">
      <c r="A49" s="618">
        <v>52</v>
      </c>
      <c r="B49" s="917"/>
      <c r="C49" s="918" t="str">
        <f t="shared" si="0"/>
        <v>Base di calcolo</v>
      </c>
      <c r="D49" s="923"/>
      <c r="E49" s="924" t="s">
        <v>232</v>
      </c>
      <c r="F49" s="925" t="s">
        <v>453</v>
      </c>
      <c r="G49" s="926" t="s">
        <v>1333</v>
      </c>
      <c r="I49" s="923"/>
    </row>
    <row r="50" spans="1:9" s="927" customFormat="1" ht="23" x14ac:dyDescent="0.15">
      <c r="A50" s="618">
        <v>53</v>
      </c>
      <c r="B50" s="917"/>
      <c r="C50" s="918" t="str">
        <f t="shared" si="0"/>
        <v>Calcoli (A: profilo standard)</v>
      </c>
      <c r="D50" s="923"/>
      <c r="E50" s="924" t="s">
        <v>336</v>
      </c>
      <c r="F50" s="925" t="s">
        <v>454</v>
      </c>
      <c r="G50" s="926" t="s">
        <v>1334</v>
      </c>
      <c r="I50" s="923"/>
    </row>
    <row r="51" spans="1:9" s="927" customFormat="1" ht="23" x14ac:dyDescent="0.15">
      <c r="A51" s="618">
        <v>54</v>
      </c>
      <c r="B51" s="917"/>
      <c r="C51" s="918" t="str">
        <f t="shared" si="0"/>
        <v>Calcoli (B: valori progettista)</v>
      </c>
      <c r="D51" s="923"/>
      <c r="E51" s="924" t="s">
        <v>337</v>
      </c>
      <c r="F51" s="925" t="s">
        <v>455</v>
      </c>
      <c r="G51" s="926" t="s">
        <v>1335</v>
      </c>
      <c r="I51" s="923"/>
    </row>
    <row r="52" spans="1:9" s="927" customFormat="1" ht="28" x14ac:dyDescent="0.15">
      <c r="A52" s="618">
        <v>55</v>
      </c>
      <c r="B52" s="917"/>
      <c r="C52" s="918" t="str">
        <f>IF(C$12=F$12,F52,IF(C$12=G$12,G52,E52))</f>
        <v>Calcoli (dati del profilo)</v>
      </c>
      <c r="D52" s="923"/>
      <c r="E52" s="924" t="s">
        <v>1077</v>
      </c>
      <c r="F52" s="925" t="s">
        <v>456</v>
      </c>
      <c r="G52" s="926" t="s">
        <v>1336</v>
      </c>
      <c r="I52" s="923"/>
    </row>
    <row r="53" spans="1:9" s="927" customFormat="1" ht="23" x14ac:dyDescent="0.15">
      <c r="A53" s="618">
        <v>56</v>
      </c>
      <c r="B53" s="917"/>
      <c r="C53" s="918" t="str">
        <f t="shared" si="0"/>
        <v>Calcoli con i dati del progettista</v>
      </c>
      <c r="D53" s="923"/>
      <c r="E53" s="924" t="s">
        <v>1076</v>
      </c>
      <c r="F53" s="925" t="s">
        <v>457</v>
      </c>
      <c r="G53" s="926" t="s">
        <v>1337</v>
      </c>
      <c r="I53" s="923"/>
    </row>
    <row r="54" spans="1:9" s="927" customFormat="1" ht="23" x14ac:dyDescent="0.15">
      <c r="A54" s="618">
        <v>57</v>
      </c>
      <c r="B54" s="917"/>
      <c r="C54" s="918" t="str">
        <f t="shared" si="0"/>
        <v>Tipo di calcolo</v>
      </c>
      <c r="D54" s="923"/>
      <c r="E54" s="924" t="s">
        <v>338</v>
      </c>
      <c r="F54" s="925" t="s">
        <v>458</v>
      </c>
      <c r="G54" s="926" t="s">
        <v>1338</v>
      </c>
      <c r="I54" s="923"/>
    </row>
    <row r="55" spans="1:9" s="927" customFormat="1" ht="23" x14ac:dyDescent="0.15">
      <c r="A55" s="618">
        <v>58</v>
      </c>
      <c r="B55" s="917"/>
      <c r="C55" s="918" t="str">
        <f t="shared" si="0"/>
        <v>Berna</v>
      </c>
      <c r="D55" s="923"/>
      <c r="E55" s="924" t="s">
        <v>105</v>
      </c>
      <c r="F55" s="925" t="s">
        <v>343</v>
      </c>
      <c r="G55" s="931" t="s">
        <v>1339</v>
      </c>
      <c r="I55" s="923"/>
    </row>
    <row r="56" spans="1:9" s="927" customFormat="1" ht="23" x14ac:dyDescent="0.15">
      <c r="A56" s="618">
        <v>60</v>
      </c>
      <c r="B56" s="917"/>
      <c r="C56" s="918" t="str">
        <f t="shared" si="0"/>
        <v>Profilo d'esercizio</v>
      </c>
      <c r="D56" s="923"/>
      <c r="E56" s="924" t="s">
        <v>158</v>
      </c>
      <c r="F56" s="925" t="s">
        <v>459</v>
      </c>
      <c r="G56" s="926" t="s">
        <v>1340</v>
      </c>
      <c r="I56" s="923"/>
    </row>
    <row r="57" spans="1:9" s="927" customFormat="1" ht="23" x14ac:dyDescent="0.15">
      <c r="A57" s="618">
        <v>62</v>
      </c>
      <c r="B57" s="917"/>
      <c r="C57" s="918" t="str">
        <f t="shared" si="0"/>
        <v>Ore d'esercizio macchina all'anno</v>
      </c>
      <c r="D57" s="923"/>
      <c r="E57" s="924" t="s">
        <v>136</v>
      </c>
      <c r="F57" s="925" t="s">
        <v>678</v>
      </c>
      <c r="G57" s="926" t="s">
        <v>1341</v>
      </c>
      <c r="I57" s="923"/>
    </row>
    <row r="58" spans="1:9" s="927" customFormat="1" ht="23" x14ac:dyDescent="0.15">
      <c r="A58" s="618">
        <v>64</v>
      </c>
      <c r="B58" s="917"/>
      <c r="C58" s="918" t="str">
        <f t="shared" si="0"/>
        <v>Profilo ore d'esercizio (ridotto)</v>
      </c>
      <c r="D58" s="923"/>
      <c r="E58" s="924" t="s">
        <v>132</v>
      </c>
      <c r="F58" s="925" t="s">
        <v>460</v>
      </c>
      <c r="G58" s="926" t="s">
        <v>1342</v>
      </c>
      <c r="I58" s="923"/>
    </row>
    <row r="59" spans="1:9" s="927" customFormat="1" ht="23" x14ac:dyDescent="0.15">
      <c r="A59" s="618">
        <v>65</v>
      </c>
      <c r="B59" s="917"/>
      <c r="C59" s="918" t="str">
        <f t="shared" si="0"/>
        <v>Ore d'esercizio (al giorno)</v>
      </c>
      <c r="D59" s="923"/>
      <c r="E59" s="924" t="s">
        <v>96</v>
      </c>
      <c r="F59" s="925" t="s">
        <v>461</v>
      </c>
      <c r="G59" s="926" t="s">
        <v>1343</v>
      </c>
      <c r="I59" s="923"/>
    </row>
    <row r="60" spans="1:9" s="927" customFormat="1" ht="23" x14ac:dyDescent="0.15">
      <c r="A60" s="618">
        <v>66</v>
      </c>
      <c r="B60" s="917"/>
      <c r="C60" s="918" t="str">
        <f t="shared" si="0"/>
        <v>Ore di esercizio</v>
      </c>
      <c r="D60" s="923"/>
      <c r="E60" s="924" t="s">
        <v>331</v>
      </c>
      <c r="F60" s="925" t="s">
        <v>344</v>
      </c>
      <c r="G60" s="931" t="s">
        <v>1344</v>
      </c>
      <c r="I60" s="923"/>
    </row>
    <row r="61" spans="1:9" s="927" customFormat="1" ht="23" x14ac:dyDescent="0.15">
      <c r="A61" s="618">
        <v>67</v>
      </c>
      <c r="B61" s="917"/>
      <c r="C61" s="918" t="str">
        <f t="shared" si="0"/>
        <v>Denominazione</v>
      </c>
      <c r="D61" s="923"/>
      <c r="E61" s="924" t="s">
        <v>2</v>
      </c>
      <c r="F61" s="925" t="s">
        <v>462</v>
      </c>
      <c r="G61" s="926" t="s">
        <v>1345</v>
      </c>
      <c r="I61" s="923"/>
    </row>
    <row r="62" spans="1:9" s="927" customFormat="1" ht="23" x14ac:dyDescent="0.15">
      <c r="A62" s="618">
        <v>68</v>
      </c>
      <c r="B62" s="917"/>
      <c r="C62" s="918" t="str">
        <f t="shared" si="0"/>
        <v>Denominazione della variante A</v>
      </c>
      <c r="D62" s="923"/>
      <c r="E62" s="924" t="s">
        <v>221</v>
      </c>
      <c r="F62" s="925" t="s">
        <v>463</v>
      </c>
      <c r="G62" s="926" t="s">
        <v>1346</v>
      </c>
      <c r="I62" s="923"/>
    </row>
    <row r="63" spans="1:9" s="927" customFormat="1" ht="23" x14ac:dyDescent="0.15">
      <c r="A63" s="618">
        <v>69</v>
      </c>
      <c r="B63" s="917"/>
      <c r="C63" s="918" t="str">
        <f t="shared" si="0"/>
        <v>Denominazione della variante B</v>
      </c>
      <c r="D63" s="923"/>
      <c r="E63" s="924" t="s">
        <v>222</v>
      </c>
      <c r="F63" s="925" t="s">
        <v>464</v>
      </c>
      <c r="G63" s="926" t="s">
        <v>1347</v>
      </c>
      <c r="I63" s="923"/>
    </row>
    <row r="64" spans="1:9" s="927" customFormat="1" ht="32" x14ac:dyDescent="0.15">
      <c r="A64" s="618">
        <v>72</v>
      </c>
      <c r="B64" s="917"/>
      <c r="C64" s="918" t="str">
        <f t="shared" si="0"/>
        <v>D: Impianto con 7'500 ore di funz. a pieno regime all'anno</v>
      </c>
      <c r="D64" s="923"/>
      <c r="E64" s="924" t="s">
        <v>794</v>
      </c>
      <c r="F64" s="925" t="s">
        <v>1055</v>
      </c>
      <c r="G64" s="930" t="s">
        <v>1056</v>
      </c>
      <c r="I64" s="923"/>
    </row>
    <row r="65" spans="1:9" s="927" customFormat="1" ht="23" x14ac:dyDescent="0.15">
      <c r="A65" s="618">
        <v>73</v>
      </c>
      <c r="B65" s="917"/>
      <c r="C65" s="918" t="str">
        <f t="shared" si="0"/>
        <v>CHF/ tonnellate CO2</v>
      </c>
      <c r="D65" s="923"/>
      <c r="E65" s="924" t="s">
        <v>24</v>
      </c>
      <c r="F65" s="925" t="s">
        <v>465</v>
      </c>
      <c r="G65" s="926" t="s">
        <v>1348</v>
      </c>
      <c r="I65" s="923"/>
    </row>
    <row r="66" spans="1:9" s="927" customFormat="1" ht="23" x14ac:dyDescent="0.15">
      <c r="A66" s="618">
        <v>75</v>
      </c>
      <c r="B66" s="917"/>
      <c r="C66" s="918" t="str">
        <f t="shared" si="0"/>
        <v>Emissioni di CO2 auto di media cilindrata</v>
      </c>
      <c r="D66" s="923"/>
      <c r="E66" s="924" t="s">
        <v>39</v>
      </c>
      <c r="F66" s="925" t="s">
        <v>466</v>
      </c>
      <c r="G66" s="926" t="s">
        <v>1349</v>
      </c>
      <c r="I66" s="923"/>
    </row>
    <row r="67" spans="1:9" s="927" customFormat="1" ht="23" x14ac:dyDescent="0.15">
      <c r="A67" s="618">
        <v>76</v>
      </c>
      <c r="B67" s="917"/>
      <c r="C67" s="918" t="str">
        <f t="shared" si="0"/>
        <v>Emissioni di CO2 all'anno</v>
      </c>
      <c r="D67" s="923"/>
      <c r="E67" s="924" t="s">
        <v>241</v>
      </c>
      <c r="F67" s="925" t="s">
        <v>467</v>
      </c>
      <c r="G67" s="926" t="s">
        <v>1350</v>
      </c>
      <c r="I67" s="923"/>
    </row>
    <row r="68" spans="1:9" s="927" customFormat="1" ht="23" x14ac:dyDescent="0.15">
      <c r="A68" s="618">
        <v>77</v>
      </c>
      <c r="B68" s="917"/>
      <c r="C68" s="918" t="str">
        <f t="shared" si="0"/>
        <v>Emissioni di CO2 per consumo di elettricità</v>
      </c>
      <c r="D68" s="923"/>
      <c r="E68" s="924" t="s">
        <v>37</v>
      </c>
      <c r="F68" s="925" t="s">
        <v>468</v>
      </c>
      <c r="G68" s="926" t="s">
        <v>1351</v>
      </c>
      <c r="I68" s="923"/>
    </row>
    <row r="69" spans="1:9" s="927" customFormat="1" ht="23" x14ac:dyDescent="0.15">
      <c r="A69" s="618">
        <v>78</v>
      </c>
      <c r="B69" s="917"/>
      <c r="C69" s="918" t="str">
        <f t="shared" si="0"/>
        <v>Emissioni di CO2 per perdite</v>
      </c>
      <c r="D69" s="923"/>
      <c r="E69" s="924" t="s">
        <v>74</v>
      </c>
      <c r="F69" s="925" t="s">
        <v>469</v>
      </c>
      <c r="G69" s="926" t="s">
        <v>1352</v>
      </c>
      <c r="I69" s="923"/>
    </row>
    <row r="70" spans="1:9" s="927" customFormat="1" ht="23" x14ac:dyDescent="0.15">
      <c r="A70" s="618">
        <v>79</v>
      </c>
      <c r="B70" s="917"/>
      <c r="C70" s="918" t="str">
        <f t="shared" si="0"/>
        <v>Emissioni di CO2 all'anno</v>
      </c>
      <c r="D70" s="923"/>
      <c r="E70" s="924" t="s">
        <v>80</v>
      </c>
      <c r="F70" s="925" t="s">
        <v>470</v>
      </c>
      <c r="G70" s="926" t="s">
        <v>1350</v>
      </c>
      <c r="I70" s="923"/>
    </row>
    <row r="71" spans="1:9" s="927" customFormat="1" ht="23" x14ac:dyDescent="0.15">
      <c r="A71" s="618">
        <v>80</v>
      </c>
      <c r="B71" s="917"/>
      <c r="C71" s="918" t="str">
        <f t="shared" si="0"/>
        <v>Emissioni di CO2 per  da recupero</v>
      </c>
      <c r="D71" s="923"/>
      <c r="E71" s="924" t="s">
        <v>75</v>
      </c>
      <c r="F71" s="925" t="s">
        <v>471</v>
      </c>
      <c r="G71" s="926" t="s">
        <v>1353</v>
      </c>
      <c r="I71" s="923"/>
    </row>
    <row r="72" spans="1:9" s="927" customFormat="1" ht="23" x14ac:dyDescent="0.15">
      <c r="A72" s="618">
        <v>81</v>
      </c>
      <c r="B72" s="917"/>
      <c r="C72" s="918" t="str">
        <f t="shared" si="0"/>
        <v>Emissioni di CO2 duranta di vita dell'impianto</v>
      </c>
      <c r="D72" s="923"/>
      <c r="E72" s="924" t="s">
        <v>322</v>
      </c>
      <c r="F72" s="925" t="s">
        <v>472</v>
      </c>
      <c r="G72" s="926" t="s">
        <v>1354</v>
      </c>
      <c r="I72" s="923"/>
    </row>
    <row r="73" spans="1:9" s="927" customFormat="1" ht="23" x14ac:dyDescent="0.15">
      <c r="A73" s="618">
        <v>82</v>
      </c>
      <c r="B73" s="917"/>
      <c r="C73" s="918" t="str">
        <f t="shared" si="0"/>
        <v>Fattore delle emissioni di CO2 elettricità</v>
      </c>
      <c r="D73" s="923"/>
      <c r="E73" s="924" t="s">
        <v>34</v>
      </c>
      <c r="F73" s="925" t="s">
        <v>473</v>
      </c>
      <c r="G73" s="926" t="s">
        <v>1355</v>
      </c>
      <c r="I73" s="923"/>
    </row>
    <row r="74" spans="1:9" s="927" customFormat="1" ht="23" x14ac:dyDescent="0.15">
      <c r="A74" s="618">
        <v>83</v>
      </c>
      <c r="B74" s="917"/>
      <c r="C74" s="918" t="str">
        <f t="shared" si="0"/>
        <v>Contenuto CO2 camion</v>
      </c>
      <c r="D74" s="923"/>
      <c r="E74" s="924" t="s">
        <v>44</v>
      </c>
      <c r="F74" s="925" t="s">
        <v>474</v>
      </c>
      <c r="G74" s="926" t="s">
        <v>1356</v>
      </c>
      <c r="I74" s="923"/>
    </row>
    <row r="75" spans="1:9" s="927" customFormat="1" ht="23" x14ac:dyDescent="0.15">
      <c r="A75" s="618">
        <v>84</v>
      </c>
      <c r="B75" s="917"/>
      <c r="C75" s="918" t="str">
        <f t="shared" si="0"/>
        <v>Spese di compensazione CO2</v>
      </c>
      <c r="D75" s="923"/>
      <c r="E75" s="924" t="s">
        <v>213</v>
      </c>
      <c r="F75" s="925" t="s">
        <v>475</v>
      </c>
      <c r="G75" s="926" t="s">
        <v>1357</v>
      </c>
      <c r="I75" s="923"/>
    </row>
    <row r="76" spans="1:9" s="927" customFormat="1" ht="23" x14ac:dyDescent="0.15">
      <c r="A76" s="618">
        <v>88</v>
      </c>
      <c r="B76" s="917"/>
      <c r="C76" s="918" t="str">
        <f t="shared" si="0"/>
        <v>Compressore COP (solo per controllo)</v>
      </c>
      <c r="D76" s="923"/>
      <c r="E76" s="924" t="s">
        <v>325</v>
      </c>
      <c r="F76" s="925" t="s">
        <v>679</v>
      </c>
      <c r="G76" s="926" t="s">
        <v>1358</v>
      </c>
      <c r="I76" s="923"/>
    </row>
    <row r="77" spans="1:9" s="927" customFormat="1" ht="23" x14ac:dyDescent="0.15">
      <c r="A77" s="618">
        <v>90</v>
      </c>
      <c r="B77" s="917"/>
      <c r="C77" s="918" t="str">
        <f t="shared" si="0"/>
        <v>Fondamenti dei dati sulla domanda di elettricità</v>
      </c>
      <c r="D77" s="923"/>
      <c r="E77" s="924" t="s">
        <v>1759</v>
      </c>
      <c r="F77" s="925" t="s">
        <v>1760</v>
      </c>
      <c r="G77" s="930" t="s">
        <v>1758</v>
      </c>
      <c r="I77" s="1106"/>
    </row>
    <row r="78" spans="1:9" s="927" customFormat="1" ht="23" x14ac:dyDescent="0.15">
      <c r="A78" s="618">
        <v>92</v>
      </c>
      <c r="B78" s="917"/>
      <c r="C78" s="918" t="str">
        <f t="shared" ref="C78:C141" si="1">IF(C$12=F$12,F78,IF(C$12=G$12,G78,E78))</f>
        <v>Data</v>
      </c>
      <c r="D78" s="923"/>
      <c r="E78" s="924" t="s">
        <v>6</v>
      </c>
      <c r="F78" s="925" t="s">
        <v>345</v>
      </c>
      <c r="G78" s="931" t="s">
        <v>1359</v>
      </c>
      <c r="I78" s="923"/>
    </row>
    <row r="79" spans="1:9" s="927" customFormat="1" ht="23" x14ac:dyDescent="0.15">
      <c r="A79" s="618">
        <v>95</v>
      </c>
      <c r="B79" s="917"/>
      <c r="C79" s="918" t="str">
        <f t="shared" si="1"/>
        <v>Mostrare i dettagli sul calcolo?</v>
      </c>
      <c r="D79" s="923"/>
      <c r="E79" s="924" t="s">
        <v>234</v>
      </c>
      <c r="F79" s="925" t="s">
        <v>476</v>
      </c>
      <c r="G79" s="926" t="s">
        <v>1360</v>
      </c>
      <c r="I79" s="923"/>
    </row>
    <row r="80" spans="1:9" s="927" customFormat="1" ht="23" x14ac:dyDescent="0.15">
      <c r="A80" s="618">
        <v>98</v>
      </c>
      <c r="B80" s="917"/>
      <c r="C80" s="918" t="str">
        <f t="shared" si="1"/>
        <v>Distanza</v>
      </c>
      <c r="D80" s="923"/>
      <c r="E80" s="924" t="s">
        <v>41</v>
      </c>
      <c r="F80" s="925" t="s">
        <v>477</v>
      </c>
      <c r="G80" s="926" t="s">
        <v>1361</v>
      </c>
      <c r="I80" s="923"/>
    </row>
    <row r="81" spans="1:9" s="927" customFormat="1" ht="23" x14ac:dyDescent="0.15">
      <c r="A81" s="618">
        <v>102</v>
      </c>
      <c r="B81" s="917"/>
      <c r="C81" s="918" t="str">
        <f t="shared" si="1"/>
        <v>Temperature d'esercizio effettive</v>
      </c>
      <c r="D81" s="923"/>
      <c r="E81" s="924" t="s">
        <v>326</v>
      </c>
      <c r="F81" s="925" t="s">
        <v>478</v>
      </c>
      <c r="G81" s="926" t="s">
        <v>1362</v>
      </c>
      <c r="I81" s="923"/>
    </row>
    <row r="82" spans="1:9" s="927" customFormat="1" ht="23" x14ac:dyDescent="0.15">
      <c r="A82" s="618">
        <v>103</v>
      </c>
      <c r="B82" s="917"/>
      <c r="C82" s="918" t="str">
        <f t="shared" si="1"/>
        <v>acceso/spento</v>
      </c>
      <c r="D82" s="923"/>
      <c r="E82" s="924" t="s">
        <v>102</v>
      </c>
      <c r="F82" s="925" t="s">
        <v>346</v>
      </c>
      <c r="G82" s="931" t="s">
        <v>1363</v>
      </c>
      <c r="I82" s="923"/>
    </row>
    <row r="83" spans="1:9" s="927" customFormat="1" ht="32" x14ac:dyDescent="0.15">
      <c r="A83" s="618">
        <v>104</v>
      </c>
      <c r="B83" s="917"/>
      <c r="C83" s="918" t="str">
        <f t="shared" si="1"/>
        <v>acceso/spento (con accumulatore grande, il compressore si accende meno di 6 volte all'ora)</v>
      </c>
      <c r="D83" s="923"/>
      <c r="E83" s="924" t="s">
        <v>189</v>
      </c>
      <c r="F83" s="925" t="s">
        <v>680</v>
      </c>
      <c r="G83" s="926" t="s">
        <v>1364</v>
      </c>
      <c r="I83" s="923"/>
    </row>
    <row r="84" spans="1:9" s="927" customFormat="1" ht="32" x14ac:dyDescent="0.15">
      <c r="A84" s="618">
        <v>105</v>
      </c>
      <c r="B84" s="917"/>
      <c r="C84" s="918" t="str">
        <f t="shared" si="1"/>
        <v>acceso/spento (con accumulatore piccolo, il compressore si accende più di 6 volte all'ora)</v>
      </c>
      <c r="D84" s="923"/>
      <c r="E84" s="924" t="s">
        <v>188</v>
      </c>
      <c r="F84" s="925" t="s">
        <v>681</v>
      </c>
      <c r="G84" s="926" t="s">
        <v>1365</v>
      </c>
      <c r="I84" s="923"/>
    </row>
    <row r="85" spans="1:9" s="927" customFormat="1" ht="23" x14ac:dyDescent="0.15">
      <c r="A85" s="618">
        <v>106</v>
      </c>
      <c r="B85" s="917"/>
      <c r="C85" s="918" t="str">
        <f t="shared" si="1"/>
        <v>acceso/spento (senza polmone)</v>
      </c>
      <c r="D85" s="923"/>
      <c r="E85" s="924" t="s">
        <v>185</v>
      </c>
      <c r="F85" s="925" t="s">
        <v>682</v>
      </c>
      <c r="G85" s="931" t="s">
        <v>1366</v>
      </c>
      <c r="I85" s="923"/>
    </row>
    <row r="86" spans="1:9" s="927" customFormat="1" ht="23" x14ac:dyDescent="0.15">
      <c r="A86" s="618">
        <v>108</v>
      </c>
      <c r="B86" s="917"/>
      <c r="C86" s="918" t="str">
        <f t="shared" si="1"/>
        <v>Inserimento dati d'esercizio</v>
      </c>
      <c r="D86" s="923"/>
      <c r="E86" s="924" t="s">
        <v>315</v>
      </c>
      <c r="F86" s="925" t="s">
        <v>479</v>
      </c>
      <c r="G86" s="926" t="s">
        <v>1367</v>
      </c>
      <c r="I86" s="923"/>
    </row>
    <row r="87" spans="1:9" s="927" customFormat="1" ht="23" x14ac:dyDescent="0.15">
      <c r="A87" s="618">
        <v>109</v>
      </c>
      <c r="B87" s="917"/>
      <c r="C87" s="918" t="str">
        <f t="shared" si="1"/>
        <v>Inserimento facoltativo</v>
      </c>
      <c r="D87" s="923"/>
      <c r="E87" s="924" t="s">
        <v>285</v>
      </c>
      <c r="F87" s="925" t="s">
        <v>480</v>
      </c>
      <c r="G87" s="926" t="s">
        <v>1368</v>
      </c>
      <c r="I87" s="923"/>
    </row>
    <row r="88" spans="1:9" s="927" customFormat="1" ht="23" x14ac:dyDescent="0.15">
      <c r="A88" s="618">
        <v>110</v>
      </c>
      <c r="B88" s="917"/>
      <c r="C88" s="918" t="str">
        <f t="shared" si="1"/>
        <v>Inserimenti</v>
      </c>
      <c r="D88" s="923"/>
      <c r="E88" s="924" t="s">
        <v>301</v>
      </c>
      <c r="F88" s="925" t="s">
        <v>481</v>
      </c>
      <c r="G88" s="926" t="s">
        <v>1369</v>
      </c>
      <c r="I88" s="923"/>
    </row>
    <row r="89" spans="1:9" s="927" customFormat="1" ht="23" x14ac:dyDescent="0.15">
      <c r="A89" s="618">
        <v>114</v>
      </c>
      <c r="B89" s="917"/>
      <c r="C89" s="918" t="str">
        <f t="shared" si="1"/>
        <v>Potenza elettrica assorbita</v>
      </c>
      <c r="D89" s="923"/>
      <c r="E89" s="924" t="s">
        <v>87</v>
      </c>
      <c r="F89" s="925" t="s">
        <v>482</v>
      </c>
      <c r="G89" s="926" t="s">
        <v>1370</v>
      </c>
      <c r="I89" s="923"/>
    </row>
    <row r="90" spans="1:9" s="927" customFormat="1" ht="23" x14ac:dyDescent="0.15">
      <c r="A90" s="618">
        <v>115</v>
      </c>
      <c r="B90" s="917"/>
      <c r="C90" s="918" t="str">
        <f t="shared" si="1"/>
        <v>Potenza elettrica assorbita (effettiva)</v>
      </c>
      <c r="D90" s="923"/>
      <c r="E90" s="924" t="s">
        <v>192</v>
      </c>
      <c r="F90" s="925" t="s">
        <v>683</v>
      </c>
      <c r="G90" s="926" t="s">
        <v>1371</v>
      </c>
      <c r="I90" s="923"/>
    </row>
    <row r="91" spans="1:9" s="927" customFormat="1" ht="23" x14ac:dyDescent="0.15">
      <c r="A91" s="618">
        <v>116</v>
      </c>
      <c r="B91" s="917"/>
      <c r="C91" s="918" t="str">
        <f t="shared" si="1"/>
        <v>Potenza elettrica assorbita compressore</v>
      </c>
      <c r="D91" s="923"/>
      <c r="E91" s="924" t="s">
        <v>327</v>
      </c>
      <c r="F91" s="925" t="s">
        <v>483</v>
      </c>
      <c r="G91" s="926" t="s">
        <v>1372</v>
      </c>
      <c r="I91" s="923"/>
    </row>
    <row r="92" spans="1:9" s="927" customFormat="1" ht="23" x14ac:dyDescent="0.15">
      <c r="A92" s="618">
        <v>117</v>
      </c>
      <c r="B92" s="917"/>
      <c r="C92" s="918" t="str">
        <f t="shared" si="1"/>
        <v>Fabbisogno elettricità</v>
      </c>
      <c r="D92" s="923"/>
      <c r="E92" s="924" t="s">
        <v>33</v>
      </c>
      <c r="F92" s="925" t="s">
        <v>484</v>
      </c>
      <c r="G92" s="926" t="s">
        <v>1373</v>
      </c>
      <c r="I92" s="923"/>
    </row>
    <row r="93" spans="1:9" s="927" customFormat="1" ht="23" x14ac:dyDescent="0.15">
      <c r="A93" s="618">
        <v>120</v>
      </c>
      <c r="B93" s="917"/>
      <c r="C93" s="918" t="str">
        <f t="shared" si="1"/>
        <v>Consumo elettricità</v>
      </c>
      <c r="D93" s="923"/>
      <c r="E93" s="924" t="s">
        <v>78</v>
      </c>
      <c r="F93" s="925" t="s">
        <v>347</v>
      </c>
      <c r="G93" s="931" t="s">
        <v>1374</v>
      </c>
      <c r="I93" s="923"/>
    </row>
    <row r="94" spans="1:9" s="927" customFormat="1" ht="23" x14ac:dyDescent="0.15">
      <c r="A94" s="618">
        <v>121</v>
      </c>
      <c r="B94" s="917"/>
      <c r="C94" s="918" t="str">
        <f t="shared" si="1"/>
        <v>Consumo elettricità impianto di refrigerazione</v>
      </c>
      <c r="D94" s="923"/>
      <c r="E94" s="924" t="s">
        <v>62</v>
      </c>
      <c r="F94" s="925" t="s">
        <v>485</v>
      </c>
      <c r="G94" s="926" t="s">
        <v>1375</v>
      </c>
      <c r="I94" s="923"/>
    </row>
    <row r="95" spans="1:9" s="927" customFormat="1" ht="23" x14ac:dyDescent="0.15">
      <c r="A95" s="618">
        <v>122</v>
      </c>
      <c r="B95" s="917"/>
      <c r="C95" s="918" t="str">
        <f t="shared" si="1"/>
        <v>Energia</v>
      </c>
      <c r="D95" s="923"/>
      <c r="E95" s="924" t="s">
        <v>140</v>
      </c>
      <c r="F95" s="925" t="s">
        <v>140</v>
      </c>
      <c r="G95" s="931" t="s">
        <v>1376</v>
      </c>
      <c r="I95" s="923"/>
    </row>
    <row r="96" spans="1:9" s="927" customFormat="1" ht="23" x14ac:dyDescent="0.15">
      <c r="A96" s="618">
        <v>123</v>
      </c>
      <c r="B96" s="917"/>
      <c r="C96" s="918" t="str">
        <f t="shared" si="1"/>
        <v xml:space="preserve">Fattore di efficienza energetica </v>
      </c>
      <c r="D96" s="923"/>
      <c r="E96" s="924" t="s">
        <v>735</v>
      </c>
      <c r="F96" s="925" t="s">
        <v>486</v>
      </c>
      <c r="G96" s="926" t="s">
        <v>1377</v>
      </c>
      <c r="I96" s="923"/>
    </row>
    <row r="97" spans="1:9" s="927" customFormat="1" ht="23" x14ac:dyDescent="0.15">
      <c r="A97" s="618">
        <v>124</v>
      </c>
      <c r="B97" s="917"/>
      <c r="C97" s="918" t="str">
        <f t="shared" si="1"/>
        <v>Costi energetici</v>
      </c>
      <c r="D97" s="923"/>
      <c r="E97" s="924" t="s">
        <v>212</v>
      </c>
      <c r="F97" s="925" t="s">
        <v>487</v>
      </c>
      <c r="G97" s="926" t="s">
        <v>1378</v>
      </c>
      <c r="I97" s="923"/>
    </row>
    <row r="98" spans="1:9" s="927" customFormat="1" ht="23" x14ac:dyDescent="0.15">
      <c r="A98" s="618">
        <v>127</v>
      </c>
      <c r="B98" s="917"/>
      <c r="C98" s="918" t="str">
        <f t="shared" si="1"/>
        <v>Consumo elettricità aggregati ausiliari «parte fredda»</v>
      </c>
      <c r="D98" s="923"/>
      <c r="E98" s="924" t="s">
        <v>270</v>
      </c>
      <c r="F98" s="925" t="s">
        <v>614</v>
      </c>
      <c r="G98" s="926" t="s">
        <v>1379</v>
      </c>
      <c r="I98" s="923"/>
    </row>
    <row r="99" spans="1:9" s="927" customFormat="1" ht="23" x14ac:dyDescent="0.15">
      <c r="A99" s="618">
        <v>128</v>
      </c>
      <c r="B99" s="917"/>
      <c r="C99" s="918" t="str">
        <f t="shared" si="1"/>
        <v>Consumo elettricità aggregati ausiliari «parte calda»</v>
      </c>
      <c r="D99" s="923"/>
      <c r="E99" s="924" t="s">
        <v>269</v>
      </c>
      <c r="F99" s="925" t="s">
        <v>615</v>
      </c>
      <c r="G99" s="926" t="s">
        <v>1380</v>
      </c>
      <c r="I99" s="923"/>
    </row>
    <row r="100" spans="1:9" s="927" customFormat="1" ht="23" x14ac:dyDescent="0.15">
      <c r="A100" s="618">
        <v>129</v>
      </c>
      <c r="B100" s="917"/>
      <c r="C100" s="918" t="str">
        <f t="shared" si="1"/>
        <v>Consumo elettricità macchina</v>
      </c>
      <c r="D100" s="923"/>
      <c r="E100" s="924" t="s">
        <v>632</v>
      </c>
      <c r="F100" s="925" t="s">
        <v>684</v>
      </c>
      <c r="G100" s="926" t="s">
        <v>1381</v>
      </c>
      <c r="I100" s="923"/>
    </row>
    <row r="101" spans="1:9" s="927" customFormat="1" ht="23" x14ac:dyDescent="0.15">
      <c r="A101" s="618">
        <v>130</v>
      </c>
      <c r="B101" s="917"/>
      <c r="C101" s="918" t="str">
        <f t="shared" si="1"/>
        <v>Consumo elettricità compressore</v>
      </c>
      <c r="D101" s="923"/>
      <c r="E101" s="924" t="s">
        <v>268</v>
      </c>
      <c r="F101" s="925" t="s">
        <v>488</v>
      </c>
      <c r="G101" s="926" t="s">
        <v>1382</v>
      </c>
      <c r="I101" s="923"/>
    </row>
    <row r="102" spans="1:9" s="927" customFormat="1" ht="28" x14ac:dyDescent="0.15">
      <c r="A102" s="618">
        <v>131</v>
      </c>
      <c r="B102" s="917"/>
      <c r="C102" s="918" t="str">
        <f t="shared" si="1"/>
        <v>Risultato della stima in base alle ipotesi del progettista</v>
      </c>
      <c r="D102" s="923"/>
      <c r="E102" s="924" t="s">
        <v>271</v>
      </c>
      <c r="F102" s="925" t="s">
        <v>489</v>
      </c>
      <c r="G102" s="926" t="s">
        <v>1383</v>
      </c>
      <c r="I102" s="923"/>
    </row>
    <row r="103" spans="1:9" s="927" customFormat="1" ht="23" x14ac:dyDescent="0.15">
      <c r="A103" s="618">
        <v>132</v>
      </c>
      <c r="B103" s="917"/>
      <c r="C103" s="918" t="str">
        <f t="shared" si="1"/>
        <v>Risultato della stima in base al profilo standard</v>
      </c>
      <c r="D103" s="923"/>
      <c r="E103" s="924" t="s">
        <v>272</v>
      </c>
      <c r="F103" s="925" t="s">
        <v>490</v>
      </c>
      <c r="G103" s="926" t="s">
        <v>1384</v>
      </c>
      <c r="I103" s="923"/>
    </row>
    <row r="104" spans="1:9" s="927" customFormat="1" ht="23" x14ac:dyDescent="0.15">
      <c r="A104" s="618">
        <v>135</v>
      </c>
      <c r="B104" s="917"/>
      <c r="C104" s="918" t="str">
        <f t="shared" si="1"/>
        <v>Risultati</v>
      </c>
      <c r="D104" s="923"/>
      <c r="E104" s="924" t="s">
        <v>8</v>
      </c>
      <c r="F104" s="925" t="s">
        <v>491</v>
      </c>
      <c r="G104" s="926" t="s">
        <v>1385</v>
      </c>
      <c r="I104" s="923"/>
    </row>
    <row r="105" spans="1:9" s="927" customFormat="1" ht="23" x14ac:dyDescent="0.15">
      <c r="A105" s="618">
        <v>136</v>
      </c>
      <c r="B105" s="917"/>
      <c r="C105" s="918" t="str">
        <f t="shared" si="1"/>
        <v>Risultati (valori arrotondati)</v>
      </c>
      <c r="D105" s="923"/>
      <c r="E105" s="924" t="s">
        <v>318</v>
      </c>
      <c r="F105" s="925" t="s">
        <v>492</v>
      </c>
      <c r="G105" s="926" t="s">
        <v>1386</v>
      </c>
      <c r="I105" s="923"/>
    </row>
    <row r="106" spans="1:9" s="927" customFormat="1" ht="23" x14ac:dyDescent="0.15">
      <c r="A106" s="618">
        <v>137</v>
      </c>
      <c r="B106" s="917"/>
      <c r="C106" s="918" t="str">
        <f t="shared" si="1"/>
        <v xml:space="preserve">Risultati calcolo TEWI </v>
      </c>
      <c r="D106" s="923"/>
      <c r="E106" s="924" t="s">
        <v>302</v>
      </c>
      <c r="F106" s="925" t="s">
        <v>493</v>
      </c>
      <c r="G106" s="926" t="s">
        <v>1387</v>
      </c>
      <c r="I106" s="923"/>
    </row>
    <row r="107" spans="1:9" s="927" customFormat="1" ht="23" x14ac:dyDescent="0.15">
      <c r="A107" s="618">
        <v>139</v>
      </c>
      <c r="B107" s="917"/>
      <c r="C107" s="918" t="str">
        <f t="shared" si="1"/>
        <v>Valore SEER macchina</v>
      </c>
      <c r="D107" s="923"/>
      <c r="E107" s="924" t="s">
        <v>936</v>
      </c>
      <c r="F107" s="925" t="s">
        <v>937</v>
      </c>
      <c r="G107" s="930" t="s">
        <v>938</v>
      </c>
      <c r="I107" s="923"/>
    </row>
    <row r="108" spans="1:9" s="927" customFormat="1" ht="23" x14ac:dyDescent="0.15">
      <c r="A108" s="618">
        <v>140</v>
      </c>
      <c r="B108" s="917"/>
      <c r="C108" s="932" t="str">
        <f t="shared" si="1"/>
        <v>Misto elettricità UE (DE)</v>
      </c>
      <c r="D108" s="923"/>
      <c r="E108" s="924" t="s">
        <v>1575</v>
      </c>
      <c r="F108" s="925" t="s">
        <v>1576</v>
      </c>
      <c r="G108" s="926" t="s">
        <v>1577</v>
      </c>
      <c r="I108" s="923"/>
    </row>
    <row r="109" spans="1:9" s="927" customFormat="1" ht="23" x14ac:dyDescent="0.15">
      <c r="A109" s="618">
        <v>141</v>
      </c>
      <c r="B109" s="917"/>
      <c r="C109" s="918" t="str">
        <f t="shared" si="1"/>
        <v>Fattore</v>
      </c>
      <c r="D109" s="923"/>
      <c r="E109" s="924" t="s">
        <v>239</v>
      </c>
      <c r="F109" s="925" t="s">
        <v>494</v>
      </c>
      <c r="G109" s="926" t="s">
        <v>1388</v>
      </c>
      <c r="I109" s="923"/>
    </row>
    <row r="110" spans="1:9" s="927" customFormat="1" ht="23" x14ac:dyDescent="0.15">
      <c r="A110" s="618">
        <v>142</v>
      </c>
      <c r="B110" s="917"/>
      <c r="C110" s="918" t="str">
        <f t="shared" si="1"/>
        <v>Ditta</v>
      </c>
      <c r="D110" s="923"/>
      <c r="E110" s="924" t="s">
        <v>4</v>
      </c>
      <c r="F110" s="925" t="s">
        <v>620</v>
      </c>
      <c r="G110" s="931" t="s">
        <v>1389</v>
      </c>
      <c r="I110" s="923"/>
    </row>
    <row r="111" spans="1:9" s="927" customFormat="1" ht="23" x14ac:dyDescent="0.15">
      <c r="A111" s="618">
        <v>144</v>
      </c>
      <c r="B111" s="917"/>
      <c r="C111" s="918" t="str">
        <f t="shared" si="1"/>
        <v>Franchi</v>
      </c>
      <c r="D111" s="923"/>
      <c r="E111" s="924" t="s">
        <v>57</v>
      </c>
      <c r="F111" s="925" t="s">
        <v>495</v>
      </c>
      <c r="G111" s="926" t="s">
        <v>1390</v>
      </c>
      <c r="I111" s="923"/>
    </row>
    <row r="112" spans="1:9" s="927" customFormat="1" ht="23" x14ac:dyDescent="0.15">
      <c r="A112" s="618">
        <v>145</v>
      </c>
      <c r="B112" s="917"/>
      <c r="C112" s="918" t="str">
        <f t="shared" si="1"/>
        <v>Convertitore di frequenza</v>
      </c>
      <c r="D112" s="923"/>
      <c r="E112" s="924" t="s">
        <v>186</v>
      </c>
      <c r="F112" s="925" t="s">
        <v>348</v>
      </c>
      <c r="G112" s="931" t="s">
        <v>1391</v>
      </c>
      <c r="I112" s="923"/>
    </row>
    <row r="113" spans="1:9" s="927" customFormat="1" ht="23" x14ac:dyDescent="0.15">
      <c r="A113" s="618">
        <v>146</v>
      </c>
      <c r="B113" s="917"/>
      <c r="C113" s="918" t="str">
        <f t="shared" si="1"/>
        <v>Convertitore di frequenza (con polmone)</v>
      </c>
      <c r="D113" s="923"/>
      <c r="E113" s="924" t="s">
        <v>187</v>
      </c>
      <c r="F113" s="925" t="s">
        <v>685</v>
      </c>
      <c r="G113" s="931" t="s">
        <v>1392</v>
      </c>
      <c r="I113" s="923"/>
    </row>
    <row r="114" spans="1:9" s="927" customFormat="1" ht="23" x14ac:dyDescent="0.15">
      <c r="A114" s="618">
        <v>147</v>
      </c>
      <c r="B114" s="917"/>
      <c r="C114" s="918" t="str">
        <f t="shared" si="1"/>
        <v>Primavera</v>
      </c>
      <c r="D114" s="923"/>
      <c r="E114" s="924" t="s">
        <v>94</v>
      </c>
      <c r="F114" s="925" t="s">
        <v>349</v>
      </c>
      <c r="G114" s="931" t="s">
        <v>1393</v>
      </c>
      <c r="I114" s="923"/>
    </row>
    <row r="115" spans="1:9" s="927" customFormat="1" ht="23" x14ac:dyDescent="0.15">
      <c r="A115" s="618">
        <v>148</v>
      </c>
      <c r="B115" s="917"/>
      <c r="C115" s="918" t="str">
        <f t="shared" si="1"/>
        <v>inserire qui manualmente il fabbisogno di elettricità</v>
      </c>
      <c r="D115" s="923"/>
      <c r="E115" s="924" t="s">
        <v>220</v>
      </c>
      <c r="F115" s="925" t="s">
        <v>496</v>
      </c>
      <c r="G115" s="926" t="s">
        <v>1394</v>
      </c>
      <c r="I115" s="923"/>
    </row>
    <row r="116" spans="1:9" s="927" customFormat="1" ht="23" x14ac:dyDescent="0.15">
      <c r="A116" s="618">
        <v>149</v>
      </c>
      <c r="B116" s="917"/>
      <c r="C116" s="918" t="str">
        <f t="shared" si="1"/>
        <v>Ginevra</v>
      </c>
      <c r="D116" s="923"/>
      <c r="E116" s="924" t="s">
        <v>106</v>
      </c>
      <c r="F116" s="925" t="s">
        <v>352</v>
      </c>
      <c r="G116" s="926" t="s">
        <v>1395</v>
      </c>
      <c r="I116" s="923"/>
    </row>
    <row r="117" spans="1:9" s="927" customFormat="1" ht="23" x14ac:dyDescent="0.15">
      <c r="A117" s="618">
        <v>150</v>
      </c>
      <c r="B117" s="917"/>
      <c r="C117" s="918" t="str">
        <f t="shared" si="1"/>
        <v>Commercio</v>
      </c>
      <c r="D117" s="923"/>
      <c r="E117" s="924" t="s">
        <v>334</v>
      </c>
      <c r="F117" s="925" t="s">
        <v>686</v>
      </c>
      <c r="G117" s="926" t="s">
        <v>1396</v>
      </c>
      <c r="I117" s="923"/>
    </row>
    <row r="118" spans="1:9" s="927" customFormat="1" ht="23" x14ac:dyDescent="0.15">
      <c r="A118" s="618">
        <v>153</v>
      </c>
      <c r="B118" s="917"/>
      <c r="C118" s="918" t="str">
        <f t="shared" si="1"/>
        <v>Dati di base</v>
      </c>
      <c r="D118" s="923"/>
      <c r="E118" s="924" t="s">
        <v>311</v>
      </c>
      <c r="F118" s="925" t="s">
        <v>497</v>
      </c>
      <c r="G118" s="926" t="s">
        <v>1397</v>
      </c>
      <c r="I118" s="923"/>
    </row>
    <row r="119" spans="1:9" s="927" customFormat="1" ht="23" x14ac:dyDescent="0.15">
      <c r="A119" s="618">
        <v>155</v>
      </c>
      <c r="B119" s="917"/>
      <c r="C119" s="918" t="str">
        <f t="shared" si="1"/>
        <v>Refrigerante GWP</v>
      </c>
      <c r="D119" s="923"/>
      <c r="E119" s="924" t="s">
        <v>49</v>
      </c>
      <c r="F119" s="925" t="s">
        <v>687</v>
      </c>
      <c r="G119" s="926" t="s">
        <v>1398</v>
      </c>
      <c r="I119" s="923"/>
    </row>
    <row r="120" spans="1:9" s="927" customFormat="1" ht="23" x14ac:dyDescent="0.15">
      <c r="A120" s="618">
        <v>156</v>
      </c>
      <c r="B120" s="917"/>
      <c r="C120" s="918" t="str">
        <f t="shared" si="1"/>
        <v>Autunno</v>
      </c>
      <c r="D120" s="923"/>
      <c r="E120" s="924" t="s">
        <v>98</v>
      </c>
      <c r="F120" s="925" t="s">
        <v>350</v>
      </c>
      <c r="G120" s="926" t="s">
        <v>1399</v>
      </c>
      <c r="I120" s="923"/>
    </row>
    <row r="121" spans="1:9" s="927" customFormat="1" ht="23" x14ac:dyDescent="0.15">
      <c r="A121" s="618">
        <v>157</v>
      </c>
      <c r="B121" s="917"/>
      <c r="C121" s="918" t="str">
        <f t="shared" si="1"/>
        <v>Aggregati ausiliari «parte freddo»</v>
      </c>
      <c r="D121" s="923"/>
      <c r="E121" s="924" t="s">
        <v>139</v>
      </c>
      <c r="F121" s="925" t="s">
        <v>498</v>
      </c>
      <c r="G121" s="930" t="s">
        <v>1866</v>
      </c>
      <c r="I121" s="923"/>
    </row>
    <row r="122" spans="1:9" s="927" customFormat="1" ht="23" x14ac:dyDescent="0.15">
      <c r="A122" s="618">
        <v>158</v>
      </c>
      <c r="B122" s="917"/>
      <c r="C122" s="918" t="str">
        <f t="shared" si="1"/>
        <v>Aggregati ausiliari «parte caldo»</v>
      </c>
      <c r="D122" s="923"/>
      <c r="E122" s="924" t="s">
        <v>138</v>
      </c>
      <c r="F122" s="925" t="s">
        <v>499</v>
      </c>
      <c r="G122" s="926" t="s">
        <v>659</v>
      </c>
      <c r="I122" s="923"/>
    </row>
    <row r="123" spans="1:9" s="927" customFormat="1" ht="23" x14ac:dyDescent="0.15">
      <c r="A123" s="618">
        <v>159</v>
      </c>
      <c r="B123" s="917"/>
      <c r="C123" s="918" t="str">
        <f t="shared" si="1"/>
        <v>Osservazioni</v>
      </c>
      <c r="D123" s="923"/>
      <c r="E123" s="924" t="s">
        <v>229</v>
      </c>
      <c r="F123" s="925" t="s">
        <v>449</v>
      </c>
      <c r="G123" s="926" t="s">
        <v>657</v>
      </c>
      <c r="I123" s="923"/>
    </row>
    <row r="124" spans="1:9" s="927" customFormat="1" ht="23" x14ac:dyDescent="0.15">
      <c r="A124" s="618">
        <v>160</v>
      </c>
      <c r="B124" s="917"/>
      <c r="C124" s="918" t="str">
        <f t="shared" si="1"/>
        <v>Illustrazione delle emissioni annue di CO2</v>
      </c>
      <c r="D124" s="923"/>
      <c r="E124" s="924" t="s">
        <v>306</v>
      </c>
      <c r="F124" s="925" t="s">
        <v>500</v>
      </c>
      <c r="G124" s="926" t="s">
        <v>1400</v>
      </c>
      <c r="I124" s="923"/>
    </row>
    <row r="125" spans="1:9" s="927" customFormat="1" ht="23" x14ac:dyDescent="0.15">
      <c r="A125" s="618">
        <v>161</v>
      </c>
      <c r="B125" s="917"/>
      <c r="C125" s="918" t="str">
        <f t="shared" si="1"/>
        <v>Industria</v>
      </c>
      <c r="D125" s="923"/>
      <c r="E125" s="924" t="s">
        <v>52</v>
      </c>
      <c r="F125" s="925" t="s">
        <v>52</v>
      </c>
      <c r="G125" s="926" t="s">
        <v>1401</v>
      </c>
      <c r="I125" s="923"/>
    </row>
    <row r="126" spans="1:9" s="927" customFormat="1" ht="23" x14ac:dyDescent="0.15">
      <c r="A126" s="618">
        <v>162</v>
      </c>
      <c r="B126" s="917"/>
      <c r="C126" s="918" t="str">
        <f t="shared" si="1"/>
        <v>Pompe nebulizzazione</v>
      </c>
      <c r="D126" s="923"/>
      <c r="E126" s="924" t="s">
        <v>1067</v>
      </c>
      <c r="F126" s="925" t="s">
        <v>501</v>
      </c>
      <c r="G126" s="926" t="s">
        <v>660</v>
      </c>
      <c r="I126" s="923"/>
    </row>
    <row r="127" spans="1:9" s="927" customFormat="1" ht="23" x14ac:dyDescent="0.15">
      <c r="A127" s="618">
        <v>164</v>
      </c>
      <c r="B127" s="917"/>
      <c r="C127" s="918" t="str">
        <f t="shared" si="1"/>
        <v>Pompe nebulizzazione</v>
      </c>
      <c r="D127" s="923"/>
      <c r="E127" s="924" t="s">
        <v>1068</v>
      </c>
      <c r="F127" s="925" t="s">
        <v>502</v>
      </c>
      <c r="G127" s="926" t="s">
        <v>1402</v>
      </c>
      <c r="I127" s="923"/>
    </row>
    <row r="128" spans="1:9" s="927" customFormat="1" ht="23" x14ac:dyDescent="0.15">
      <c r="A128" s="618">
        <v>165</v>
      </c>
      <c r="B128" s="917"/>
      <c r="C128" s="918" t="str">
        <f t="shared" si="1"/>
        <v>Spese d'investimento</v>
      </c>
      <c r="D128" s="923"/>
      <c r="E128" s="924" t="s">
        <v>208</v>
      </c>
      <c r="F128" s="925" t="s">
        <v>503</v>
      </c>
      <c r="G128" s="926" t="s">
        <v>1403</v>
      </c>
      <c r="I128" s="923"/>
    </row>
    <row r="129" spans="1:9" s="927" customFormat="1" ht="23" x14ac:dyDescent="0.15">
      <c r="A129" s="618">
        <v>167</v>
      </c>
      <c r="B129" s="917"/>
      <c r="C129" s="918" t="str">
        <f t="shared" si="1"/>
        <v>Sì</v>
      </c>
      <c r="D129" s="923"/>
      <c r="E129" s="924" t="s">
        <v>215</v>
      </c>
      <c r="F129" s="925" t="s">
        <v>504</v>
      </c>
      <c r="G129" s="926" t="s">
        <v>1404</v>
      </c>
      <c r="I129" s="923"/>
    </row>
    <row r="130" spans="1:9" s="927" customFormat="1" ht="23" x14ac:dyDescent="0.15">
      <c r="A130" s="618">
        <v>168</v>
      </c>
      <c r="B130" s="917"/>
      <c r="C130" s="918" t="str">
        <f t="shared" si="1"/>
        <v>Anno</v>
      </c>
      <c r="D130" s="923"/>
      <c r="E130" s="924" t="s">
        <v>101</v>
      </c>
      <c r="F130" s="925" t="s">
        <v>351</v>
      </c>
      <c r="G130" s="931" t="s">
        <v>1405</v>
      </c>
      <c r="I130" s="923"/>
    </row>
    <row r="131" spans="1:9" s="927" customFormat="1" ht="23" x14ac:dyDescent="0.15">
      <c r="A131" s="618">
        <v>169</v>
      </c>
      <c r="B131" s="917"/>
      <c r="C131" s="918" t="str">
        <f t="shared" si="1"/>
        <v>Anni</v>
      </c>
      <c r="D131" s="923"/>
      <c r="E131" s="924" t="s">
        <v>25</v>
      </c>
      <c r="F131" s="925" t="s">
        <v>505</v>
      </c>
      <c r="G131" s="926" t="s">
        <v>1406</v>
      </c>
      <c r="I131" s="923"/>
    </row>
    <row r="132" spans="1:9" s="927" customFormat="1" ht="23" x14ac:dyDescent="0.15">
      <c r="A132" s="618">
        <v>170</v>
      </c>
      <c r="B132" s="917"/>
      <c r="C132" s="918" t="str">
        <f t="shared" si="1"/>
        <v>Costi annui</v>
      </c>
      <c r="D132" s="923"/>
      <c r="E132" s="924" t="s">
        <v>240</v>
      </c>
      <c r="F132" s="925" t="s">
        <v>506</v>
      </c>
      <c r="G132" s="926" t="s">
        <v>1407</v>
      </c>
      <c r="I132" s="923"/>
    </row>
    <row r="133" spans="1:9" s="927" customFormat="1" ht="23" x14ac:dyDescent="0.15">
      <c r="A133" s="618">
        <v>171</v>
      </c>
      <c r="B133" s="917"/>
      <c r="C133" s="918" t="str">
        <f t="shared" si="1"/>
        <v>Costi annui (funzionamento con CO2 neutro)</v>
      </c>
      <c r="D133" s="923"/>
      <c r="E133" s="924" t="s">
        <v>243</v>
      </c>
      <c r="F133" s="925" t="s">
        <v>507</v>
      </c>
      <c r="G133" s="930" t="s">
        <v>980</v>
      </c>
      <c r="I133" s="923"/>
    </row>
    <row r="134" spans="1:9" s="927" customFormat="1" ht="23" x14ac:dyDescent="0.15">
      <c r="A134" s="618">
        <v>172</v>
      </c>
      <c r="B134" s="917"/>
      <c r="C134" s="918" t="str">
        <f t="shared" si="1"/>
        <v>Costi annui</v>
      </c>
      <c r="D134" s="923"/>
      <c r="E134" s="924" t="s">
        <v>250</v>
      </c>
      <c r="F134" s="925" t="s">
        <v>506</v>
      </c>
      <c r="G134" s="926" t="s">
        <v>1407</v>
      </c>
      <c r="I134" s="923"/>
    </row>
    <row r="135" spans="1:9" s="927" customFormat="1" ht="23" x14ac:dyDescent="0.15">
      <c r="A135" s="618">
        <v>173</v>
      </c>
      <c r="B135" s="917"/>
      <c r="C135" s="918" t="str">
        <f t="shared" si="1"/>
        <v>Costi annui (liv. economico)</v>
      </c>
      <c r="D135" s="923"/>
      <c r="E135" s="924" t="s">
        <v>319</v>
      </c>
      <c r="F135" s="925" t="s">
        <v>508</v>
      </c>
      <c r="G135" s="926" t="s">
        <v>1408</v>
      </c>
      <c r="I135" s="923"/>
    </row>
    <row r="136" spans="1:9" s="927" customFormat="1" ht="32" x14ac:dyDescent="0.15">
      <c r="A136" s="618">
        <v>174</v>
      </c>
      <c r="B136" s="917"/>
      <c r="C136" s="918" t="str">
        <f t="shared" si="1"/>
        <v>Costi annui per un funzionamento neutrale per il clima (liv. economico + ecologico)</v>
      </c>
      <c r="D136" s="923"/>
      <c r="E136" s="924" t="s">
        <v>320</v>
      </c>
      <c r="F136" s="925" t="s">
        <v>509</v>
      </c>
      <c r="G136" s="926" t="s">
        <v>1409</v>
      </c>
      <c r="I136" s="923"/>
    </row>
    <row r="137" spans="1:9" s="927" customFormat="1" ht="23" x14ac:dyDescent="0.15">
      <c r="A137" s="618">
        <v>178</v>
      </c>
      <c r="B137" s="917"/>
      <c r="C137" s="918" t="str">
        <f t="shared" si="1"/>
        <v>Fabbisogno energia di refrigerazione</v>
      </c>
      <c r="D137" s="923"/>
      <c r="E137" s="924" t="s">
        <v>643</v>
      </c>
      <c r="F137" s="925" t="s">
        <v>510</v>
      </c>
      <c r="G137" s="926" t="s">
        <v>1410</v>
      </c>
      <c r="I137" s="923"/>
    </row>
    <row r="138" spans="1:9" s="927" customFormat="1" ht="32" x14ac:dyDescent="0.15">
      <c r="A138" s="618">
        <v>179</v>
      </c>
      <c r="B138" s="917"/>
      <c r="C138" s="918" t="str">
        <f t="shared" si="1"/>
        <v>Fabbisogno energia di raffreddamento Valori progettista</v>
      </c>
      <c r="D138" s="923"/>
      <c r="E138" s="924" t="s">
        <v>1069</v>
      </c>
      <c r="F138" s="925" t="s">
        <v>511</v>
      </c>
      <c r="G138" s="926" t="s">
        <v>1411</v>
      </c>
      <c r="I138" s="923"/>
    </row>
    <row r="139" spans="1:9" s="927" customFormat="1" ht="23" x14ac:dyDescent="0.15">
      <c r="A139" s="618">
        <v>180</v>
      </c>
      <c r="B139" s="917"/>
      <c r="C139" s="918" t="str">
        <f t="shared" si="1"/>
        <v>Profilo del fabbisogno di energia di raffreddamento</v>
      </c>
      <c r="D139" s="923"/>
      <c r="E139" s="924" t="s">
        <v>688</v>
      </c>
      <c r="F139" s="925" t="s">
        <v>512</v>
      </c>
      <c r="G139" s="926" t="s">
        <v>1412</v>
      </c>
      <c r="I139" s="923"/>
    </row>
    <row r="140" spans="1:9" s="927" customFormat="1" ht="23" x14ac:dyDescent="0.15">
      <c r="A140" s="618">
        <v>181</v>
      </c>
      <c r="B140" s="917"/>
      <c r="C140" s="918" t="str">
        <f t="shared" si="1"/>
        <v>Potenza di raffreddamento</v>
      </c>
      <c r="D140" s="923"/>
      <c r="E140" s="924" t="s">
        <v>173</v>
      </c>
      <c r="F140" s="925" t="s">
        <v>689</v>
      </c>
      <c r="G140" s="931" t="s">
        <v>1413</v>
      </c>
      <c r="I140" s="923"/>
    </row>
    <row r="141" spans="1:9" s="927" customFormat="1" ht="23" x14ac:dyDescent="0.15">
      <c r="A141" s="618">
        <v>182</v>
      </c>
      <c r="B141" s="917"/>
      <c r="C141" s="918" t="str">
        <f t="shared" si="1"/>
        <v>Fabbisogno potenza di raffreddamento</v>
      </c>
      <c r="D141" s="923"/>
      <c r="E141" s="924" t="s">
        <v>237</v>
      </c>
      <c r="F141" s="925" t="s">
        <v>690</v>
      </c>
      <c r="G141" s="926" t="s">
        <v>1414</v>
      </c>
      <c r="I141" s="923"/>
    </row>
    <row r="142" spans="1:9" s="927" customFormat="1" ht="23" x14ac:dyDescent="0.15">
      <c r="A142" s="618">
        <v>183</v>
      </c>
      <c r="B142" s="917"/>
      <c r="C142" s="918" t="str">
        <f t="shared" ref="C142:C205" si="2">IF(C$12=F$12,F142,IF(C$12=G$12,G142,E142))</f>
        <v>Potenza di raffreddamento delle macchine</v>
      </c>
      <c r="D142" s="923"/>
      <c r="E142" s="924" t="s">
        <v>257</v>
      </c>
      <c r="F142" s="925" t="s">
        <v>691</v>
      </c>
      <c r="G142" s="926" t="s">
        <v>1415</v>
      </c>
      <c r="I142" s="923"/>
    </row>
    <row r="143" spans="1:9" s="927" customFormat="1" ht="23" x14ac:dyDescent="0.15">
      <c r="A143" s="618">
        <v>184</v>
      </c>
      <c r="B143" s="917"/>
      <c r="C143" s="918" t="str">
        <f t="shared" si="2"/>
        <v>Potenza di raffreddamento installata</v>
      </c>
      <c r="D143" s="923"/>
      <c r="E143" s="924" t="s">
        <v>238</v>
      </c>
      <c r="F143" s="925" t="s">
        <v>692</v>
      </c>
      <c r="G143" s="926" t="s">
        <v>1416</v>
      </c>
      <c r="I143" s="923"/>
    </row>
    <row r="144" spans="1:9" s="927" customFormat="1" ht="23" x14ac:dyDescent="0.15">
      <c r="A144" s="618">
        <v>185</v>
      </c>
      <c r="B144" s="917"/>
      <c r="C144" s="918" t="str">
        <f t="shared" si="2"/>
        <v>Potenza di raffreddamento compressore</v>
      </c>
      <c r="D144" s="923"/>
      <c r="E144" s="924" t="s">
        <v>328</v>
      </c>
      <c r="F144" s="925" t="s">
        <v>693</v>
      </c>
      <c r="G144" s="926" t="s">
        <v>1417</v>
      </c>
      <c r="I144" s="923"/>
    </row>
    <row r="145" spans="1:9" s="927" customFormat="1" ht="23" x14ac:dyDescent="0.15">
      <c r="A145" s="618">
        <v>186</v>
      </c>
      <c r="B145" s="917"/>
      <c r="C145" s="918" t="str">
        <f t="shared" si="2"/>
        <v>Refrigerante</v>
      </c>
      <c r="D145" s="923"/>
      <c r="E145" s="924" t="s">
        <v>17</v>
      </c>
      <c r="F145" s="925" t="s">
        <v>513</v>
      </c>
      <c r="G145" s="926" t="s">
        <v>1418</v>
      </c>
      <c r="I145" s="923"/>
    </row>
    <row r="146" spans="1:9" s="927" customFormat="1" ht="23" x14ac:dyDescent="0.15">
      <c r="A146" s="618">
        <v>187</v>
      </c>
      <c r="B146" s="917"/>
      <c r="C146" s="918" t="str">
        <f t="shared" si="2"/>
        <v>Pompe circolazione freddo</v>
      </c>
      <c r="D146" s="923"/>
      <c r="E146" s="924" t="s">
        <v>169</v>
      </c>
      <c r="F146" s="925" t="s">
        <v>514</v>
      </c>
      <c r="G146" s="930" t="s">
        <v>1867</v>
      </c>
      <c r="I146" s="923"/>
    </row>
    <row r="147" spans="1:9" s="927" customFormat="1" ht="23" x14ac:dyDescent="0.15">
      <c r="A147" s="618">
        <v>188</v>
      </c>
      <c r="B147" s="917"/>
      <c r="C147" s="918" t="str">
        <f t="shared" si="2"/>
        <v>Temperatura acqua fredda</v>
      </c>
      <c r="D147" s="923"/>
      <c r="E147" s="924" t="s">
        <v>317</v>
      </c>
      <c r="F147" s="925" t="s">
        <v>694</v>
      </c>
      <c r="G147" s="926" t="s">
        <v>1419</v>
      </c>
      <c r="I147" s="923"/>
    </row>
    <row r="148" spans="1:9" s="927" customFormat="1" ht="23" x14ac:dyDescent="0.15">
      <c r="A148" s="618">
        <v>189</v>
      </c>
      <c r="B148" s="917"/>
      <c r="C148" s="932" t="str">
        <f t="shared" si="2"/>
        <v>Efficienza per il freddo</v>
      </c>
      <c r="D148" s="923"/>
      <c r="E148" s="924" t="s">
        <v>1258</v>
      </c>
      <c r="F148" s="925" t="s">
        <v>1259</v>
      </c>
      <c r="G148" s="930" t="s">
        <v>1260</v>
      </c>
      <c r="I148" s="923"/>
    </row>
    <row r="149" spans="1:9" s="927" customFormat="1" ht="32" x14ac:dyDescent="0.15">
      <c r="A149" s="618">
        <v>194</v>
      </c>
      <c r="B149" s="917"/>
      <c r="C149" s="918" t="str">
        <f t="shared" si="2"/>
        <v>Refrigeratore-climatizzatore (refrigeratori condensazione ad aria)</v>
      </c>
      <c r="D149" s="923"/>
      <c r="E149" s="924" t="s">
        <v>276</v>
      </c>
      <c r="F149" s="925" t="s">
        <v>630</v>
      </c>
      <c r="G149" s="926" t="s">
        <v>1420</v>
      </c>
      <c r="I149" s="923"/>
    </row>
    <row r="150" spans="1:9" s="927" customFormat="1" ht="32" x14ac:dyDescent="0.15">
      <c r="A150" s="618">
        <v>195</v>
      </c>
      <c r="B150" s="917"/>
      <c r="C150" s="918" t="str">
        <f t="shared" si="2"/>
        <v>Refrigeratore-climatizzatore (refrigeratori condensazione ad acqua)</v>
      </c>
      <c r="D150" s="923"/>
      <c r="E150" s="924" t="s">
        <v>275</v>
      </c>
      <c r="F150" s="925" t="s">
        <v>631</v>
      </c>
      <c r="G150" s="930" t="s">
        <v>1063</v>
      </c>
      <c r="I150" s="923"/>
    </row>
    <row r="151" spans="1:9" s="927" customFormat="1" ht="32" x14ac:dyDescent="0.15">
      <c r="A151" s="618">
        <v>196</v>
      </c>
      <c r="B151" s="917"/>
      <c r="C151" s="918" t="str">
        <f t="shared" si="2"/>
        <v>Refrigeratore-climatizzatore vaporizzazione diretta (sistemi VRV, VRF)</v>
      </c>
      <c r="D151" s="923"/>
      <c r="E151" s="924" t="s">
        <v>53</v>
      </c>
      <c r="F151" s="925" t="s">
        <v>633</v>
      </c>
      <c r="G151" s="926" t="s">
        <v>1421</v>
      </c>
      <c r="I151" s="923"/>
    </row>
    <row r="152" spans="1:9" s="927" customFormat="1" ht="23" x14ac:dyDescent="0.15">
      <c r="A152" s="618">
        <v>197</v>
      </c>
      <c r="B152" s="917"/>
      <c r="C152" s="918" t="str">
        <f t="shared" si="2"/>
        <v>Carico rilevante per il clima (TEWI)</v>
      </c>
      <c r="D152" s="923"/>
      <c r="E152" s="924" t="s">
        <v>244</v>
      </c>
      <c r="F152" s="925" t="s">
        <v>695</v>
      </c>
      <c r="G152" s="926" t="s">
        <v>1422</v>
      </c>
      <c r="I152" s="923"/>
    </row>
    <row r="153" spans="1:9" s="927" customFormat="1" ht="23" x14ac:dyDescent="0.15">
      <c r="A153" s="618">
        <v>198</v>
      </c>
      <c r="B153" s="917"/>
      <c r="C153" s="918" t="str">
        <f t="shared" si="2"/>
        <v>Spese di compensazione</v>
      </c>
      <c r="D153" s="923"/>
      <c r="E153" s="924" t="s">
        <v>82</v>
      </c>
      <c r="F153" s="925" t="s">
        <v>515</v>
      </c>
      <c r="G153" s="926" t="s">
        <v>1423</v>
      </c>
      <c r="I153" s="923"/>
    </row>
    <row r="154" spans="1:9" s="927" customFormat="1" ht="23" x14ac:dyDescent="0.15">
      <c r="A154" s="618">
        <v>199</v>
      </c>
      <c r="B154" s="917"/>
      <c r="C154" s="918" t="str">
        <f t="shared" si="2"/>
        <v>Ginevra</v>
      </c>
      <c r="D154" s="923"/>
      <c r="E154" s="924" t="s">
        <v>106</v>
      </c>
      <c r="F154" s="925" t="s">
        <v>352</v>
      </c>
      <c r="G154" s="931" t="s">
        <v>1395</v>
      </c>
      <c r="I154" s="923"/>
    </row>
    <row r="155" spans="1:9" s="927" customFormat="1" ht="23" x14ac:dyDescent="0.15">
      <c r="A155" s="618">
        <v>200</v>
      </c>
      <c r="B155" s="917"/>
      <c r="C155" s="918" t="str">
        <f t="shared" si="2"/>
        <v>Concetto produzione freddo</v>
      </c>
      <c r="D155" s="923"/>
      <c r="E155" s="924" t="s">
        <v>310</v>
      </c>
      <c r="F155" s="925" t="s">
        <v>516</v>
      </c>
      <c r="G155" s="926" t="s">
        <v>1424</v>
      </c>
      <c r="I155" s="923"/>
    </row>
    <row r="156" spans="1:9" s="927" customFormat="1" ht="23" x14ac:dyDescent="0.15">
      <c r="A156" s="618">
        <v>201</v>
      </c>
      <c r="B156" s="917"/>
      <c r="C156" s="918" t="str">
        <f t="shared" si="2"/>
        <v xml:space="preserve">Costi </v>
      </c>
      <c r="D156" s="923"/>
      <c r="E156" s="924" t="s">
        <v>288</v>
      </c>
      <c r="F156" s="925" t="s">
        <v>517</v>
      </c>
      <c r="G156" s="926" t="s">
        <v>1425</v>
      </c>
      <c r="I156" s="923"/>
    </row>
    <row r="157" spans="1:9" s="927" customFormat="1" ht="23" x14ac:dyDescent="0.15">
      <c r="A157" s="618">
        <v>202</v>
      </c>
      <c r="B157" s="917"/>
      <c r="C157" s="918" t="str">
        <f t="shared" si="2"/>
        <v>Costi compensazione CO2</v>
      </c>
      <c r="D157" s="923"/>
      <c r="E157" s="924" t="s">
        <v>260</v>
      </c>
      <c r="F157" s="925" t="s">
        <v>518</v>
      </c>
      <c r="G157" s="926" t="s">
        <v>1426</v>
      </c>
      <c r="I157" s="923"/>
    </row>
    <row r="158" spans="1:9" s="927" customFormat="1" ht="23" x14ac:dyDescent="0.15">
      <c r="A158" s="618">
        <v>203</v>
      </c>
      <c r="B158" s="917"/>
      <c r="C158" s="918" t="str">
        <f t="shared" si="2"/>
        <v>Costi preventivo-manutenzione senza materiali</v>
      </c>
      <c r="D158" s="923"/>
      <c r="E158" s="924" t="s">
        <v>298</v>
      </c>
      <c r="F158" s="925" t="s">
        <v>519</v>
      </c>
      <c r="G158" s="926" t="s">
        <v>1427</v>
      </c>
      <c r="I158" s="923"/>
    </row>
    <row r="159" spans="1:9" s="927" customFormat="1" ht="23" x14ac:dyDescent="0.15">
      <c r="A159" s="928">
        <v>204</v>
      </c>
      <c r="B159" s="917"/>
      <c r="C159" s="918" t="str">
        <f t="shared" si="2"/>
        <v>con la macchina del freddo</v>
      </c>
      <c r="D159" s="923"/>
      <c r="E159" s="929" t="s">
        <v>798</v>
      </c>
      <c r="F159" s="925" t="s">
        <v>1242</v>
      </c>
      <c r="G159" s="930" t="s">
        <v>1237</v>
      </c>
      <c r="I159" s="923"/>
    </row>
    <row r="160" spans="1:9" s="927" customFormat="1" ht="23" x14ac:dyDescent="0.15">
      <c r="A160" s="618">
        <v>206</v>
      </c>
      <c r="B160" s="917"/>
      <c r="C160" s="918" t="str">
        <f t="shared" si="2"/>
        <v>Fabbisogno potenza di refrigerazione</v>
      </c>
      <c r="D160" s="923"/>
      <c r="E160" s="924" t="s">
        <v>174</v>
      </c>
      <c r="F160" s="925" t="s">
        <v>696</v>
      </c>
      <c r="G160" s="926" t="s">
        <v>1428</v>
      </c>
      <c r="I160" s="923"/>
    </row>
    <row r="161" spans="1:9" s="927" customFormat="1" ht="23" x14ac:dyDescent="0.15">
      <c r="A161" s="618">
        <v>207</v>
      </c>
      <c r="B161" s="917"/>
      <c r="C161" s="918" t="str">
        <f t="shared" si="2"/>
        <v>Fabbisogno potenza di refrigerazione (edificio)</v>
      </c>
      <c r="D161" s="923"/>
      <c r="E161" s="924" t="s">
        <v>118</v>
      </c>
      <c r="F161" s="925" t="s">
        <v>697</v>
      </c>
      <c r="G161" s="926" t="s">
        <v>1429</v>
      </c>
      <c r="I161" s="923"/>
    </row>
    <row r="162" spans="1:9" s="927" customFormat="1" ht="23" x14ac:dyDescent="0.15">
      <c r="A162" s="618">
        <v>209</v>
      </c>
      <c r="B162" s="917"/>
      <c r="C162" s="918" t="str">
        <f t="shared" si="2"/>
        <v>Profilo di carico</v>
      </c>
      <c r="D162" s="923"/>
      <c r="E162" s="924" t="s">
        <v>110</v>
      </c>
      <c r="F162" s="925" t="s">
        <v>520</v>
      </c>
      <c r="G162" s="926" t="s">
        <v>1430</v>
      </c>
      <c r="I162" s="923"/>
    </row>
    <row r="163" spans="1:9" s="927" customFormat="1" ht="23" x14ac:dyDescent="0.15">
      <c r="A163" s="618">
        <v>211</v>
      </c>
      <c r="B163" s="917"/>
      <c r="C163" s="918" t="str">
        <f t="shared" si="2"/>
        <v>Durata</v>
      </c>
      <c r="D163" s="923"/>
      <c r="E163" s="924" t="s">
        <v>114</v>
      </c>
      <c r="F163" s="925" t="s">
        <v>521</v>
      </c>
      <c r="G163" s="926" t="s">
        <v>1431</v>
      </c>
      <c r="I163" s="923"/>
    </row>
    <row r="164" spans="1:9" s="927" customFormat="1" ht="23" x14ac:dyDescent="0.15">
      <c r="A164" s="618">
        <v>213</v>
      </c>
      <c r="B164" s="917"/>
      <c r="C164" s="918" t="str">
        <f t="shared" si="2"/>
        <v>Durata (dimensioni effettive)</v>
      </c>
      <c r="D164" s="923"/>
      <c r="E164" s="924" t="s">
        <v>119</v>
      </c>
      <c r="F164" s="925" t="s">
        <v>698</v>
      </c>
      <c r="G164" s="926" t="s">
        <v>1432</v>
      </c>
      <c r="I164" s="923"/>
    </row>
    <row r="165" spans="1:9" s="927" customFormat="1" ht="23" x14ac:dyDescent="0.15">
      <c r="A165" s="618">
        <v>214</v>
      </c>
      <c r="B165" s="917"/>
      <c r="C165" s="918" t="str">
        <f t="shared" si="2"/>
        <v>Durata funzionamento macchina (al giorno)</v>
      </c>
      <c r="D165" s="923"/>
      <c r="E165" s="924" t="s">
        <v>135</v>
      </c>
      <c r="F165" s="925" t="s">
        <v>522</v>
      </c>
      <c r="G165" s="926" t="s">
        <v>1433</v>
      </c>
      <c r="I165" s="923"/>
    </row>
    <row r="166" spans="1:9" s="927" customFormat="1" ht="23" x14ac:dyDescent="0.15">
      <c r="A166" s="618">
        <v>217</v>
      </c>
      <c r="B166" s="917"/>
      <c r="C166" s="918" t="str">
        <f t="shared" si="2"/>
        <v>Vita</v>
      </c>
      <c r="D166" s="923"/>
      <c r="E166" s="924" t="s">
        <v>987</v>
      </c>
      <c r="F166" s="925" t="s">
        <v>523</v>
      </c>
      <c r="G166" s="926" t="s">
        <v>1434</v>
      </c>
      <c r="I166" s="929"/>
    </row>
    <row r="167" spans="1:9" s="927" customFormat="1" ht="23" x14ac:dyDescent="0.15">
      <c r="A167" s="618">
        <v>218</v>
      </c>
      <c r="B167" s="917"/>
      <c r="C167" s="918" t="str">
        <f t="shared" si="2"/>
        <v>Durata di vita dell'impianto</v>
      </c>
      <c r="D167" s="923"/>
      <c r="E167" s="924" t="s">
        <v>988</v>
      </c>
      <c r="F167" s="925" t="s">
        <v>699</v>
      </c>
      <c r="G167" s="926" t="s">
        <v>662</v>
      </c>
      <c r="I167" s="929"/>
    </row>
    <row r="168" spans="1:9" s="927" customFormat="1" ht="23" x14ac:dyDescent="0.15">
      <c r="A168" s="618">
        <v>220</v>
      </c>
      <c r="B168" s="917"/>
      <c r="C168" s="918" t="str">
        <f t="shared" si="2"/>
        <v>Costi ciclo vitale con funzionamento con CO2 neutro</v>
      </c>
      <c r="D168" s="923"/>
      <c r="E168" s="924" t="s">
        <v>339</v>
      </c>
      <c r="F168" s="925" t="s">
        <v>617</v>
      </c>
      <c r="G168" s="926" t="s">
        <v>1435</v>
      </c>
      <c r="I168" s="923"/>
    </row>
    <row r="169" spans="1:9" s="927" customFormat="1" ht="23" x14ac:dyDescent="0.15">
      <c r="A169" s="618">
        <v>221</v>
      </c>
      <c r="B169" s="917"/>
      <c r="C169" s="918" t="str">
        <f t="shared" si="2"/>
        <v>Costi del ciclo vitale</v>
      </c>
      <c r="D169" s="923"/>
      <c r="E169" s="924" t="s">
        <v>249</v>
      </c>
      <c r="F169" s="925" t="s">
        <v>616</v>
      </c>
      <c r="G169" s="926" t="s">
        <v>1436</v>
      </c>
      <c r="I169" s="923"/>
    </row>
    <row r="170" spans="1:9" s="927" customFormat="1" ht="23" x14ac:dyDescent="0.15">
      <c r="A170" s="618">
        <v>222</v>
      </c>
      <c r="B170" s="917"/>
      <c r="C170" s="918" t="str">
        <f t="shared" si="2"/>
        <v>Costi del ciclo vitale (Life Cycle Cost LCC)</v>
      </c>
      <c r="D170" s="923"/>
      <c r="E170" s="924" t="s">
        <v>251</v>
      </c>
      <c r="F170" s="925" t="s">
        <v>982</v>
      </c>
      <c r="G170" s="926" t="s">
        <v>1437</v>
      </c>
      <c r="I170" s="923"/>
    </row>
    <row r="171" spans="1:9" s="927" customFormat="1" ht="23" x14ac:dyDescent="0.15">
      <c r="A171" s="618">
        <v>223</v>
      </c>
      <c r="B171" s="917"/>
      <c r="C171" s="918" t="str">
        <f t="shared" si="2"/>
        <v>Costi del ciclo vitale (liv. economico)</v>
      </c>
      <c r="D171" s="923"/>
      <c r="E171" s="924" t="s">
        <v>321</v>
      </c>
      <c r="F171" s="925" t="s">
        <v>983</v>
      </c>
      <c r="G171" s="926" t="s">
        <v>1438</v>
      </c>
      <c r="I171" s="923"/>
    </row>
    <row r="172" spans="1:9" s="927" customFormat="1" ht="23" x14ac:dyDescent="0.15">
      <c r="A172" s="618">
        <v>224</v>
      </c>
      <c r="B172" s="917"/>
      <c r="C172" s="918" t="str">
        <f t="shared" si="2"/>
        <v>Costi del ciclo vitale (funzionamento con CO2 neutro)</v>
      </c>
      <c r="D172" s="923"/>
      <c r="E172" s="924" t="s">
        <v>979</v>
      </c>
      <c r="F172" s="925" t="s">
        <v>984</v>
      </c>
      <c r="G172" s="930" t="s">
        <v>981</v>
      </c>
      <c r="I172" s="923"/>
    </row>
    <row r="173" spans="1:9" s="927" customFormat="1" ht="23" x14ac:dyDescent="0.15">
      <c r="A173" s="618">
        <v>226</v>
      </c>
      <c r="B173" s="917"/>
      <c r="C173" s="918" t="str">
        <f t="shared" si="2"/>
        <v>Tasso di perdita all'anno</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Inserimento manuale</v>
      </c>
      <c r="D175" s="923"/>
      <c r="E175" s="924" t="s">
        <v>73</v>
      </c>
      <c r="F175" s="925" t="s">
        <v>525</v>
      </c>
      <c r="G175" s="926" t="s">
        <v>1441</v>
      </c>
      <c r="I175" s="923"/>
    </row>
    <row r="176" spans="1:9" s="927" customFormat="1" ht="23" x14ac:dyDescent="0.15">
      <c r="A176" s="618">
        <v>232</v>
      </c>
      <c r="B176" s="917"/>
      <c r="C176" s="918" t="str">
        <f t="shared" si="2"/>
        <v>Macchina</v>
      </c>
      <c r="D176" s="923"/>
      <c r="E176" s="924" t="s">
        <v>137</v>
      </c>
      <c r="F176" s="925" t="s">
        <v>526</v>
      </c>
      <c r="G176" s="926" t="s">
        <v>1442</v>
      </c>
      <c r="I176" s="923"/>
    </row>
    <row r="177" spans="1:9" s="927" customFormat="1" ht="23" x14ac:dyDescent="0.15">
      <c r="A177" s="618">
        <v>233</v>
      </c>
      <c r="B177" s="917"/>
      <c r="C177" s="918" t="str">
        <f t="shared" si="2"/>
        <v>Caratteristiche Tecniche</v>
      </c>
      <c r="D177" s="923"/>
      <c r="E177" s="924" t="s">
        <v>637</v>
      </c>
      <c r="F177" s="925" t="s">
        <v>638</v>
      </c>
      <c r="G177" s="930" t="s">
        <v>639</v>
      </c>
      <c r="I177" s="923"/>
    </row>
    <row r="178" spans="1:9" s="927" customFormat="1" ht="23" x14ac:dyDescent="0.15">
      <c r="A178" s="618">
        <v>237</v>
      </c>
      <c r="B178" s="917"/>
      <c r="C178" s="918" t="str">
        <f t="shared" si="2"/>
        <v>Materiale (arrotondato)</v>
      </c>
      <c r="D178" s="923"/>
      <c r="E178" s="924" t="s">
        <v>294</v>
      </c>
      <c r="F178" s="925" t="s">
        <v>527</v>
      </c>
      <c r="G178" s="926" t="s">
        <v>1443</v>
      </c>
      <c r="I178" s="923"/>
    </row>
    <row r="179" spans="1:9" s="927" customFormat="1" ht="23" x14ac:dyDescent="0.15">
      <c r="A179" s="618">
        <v>238</v>
      </c>
      <c r="B179" s="917"/>
      <c r="C179" s="918" t="str">
        <f t="shared" si="2"/>
        <v>Temperatura esterna media (0-24h)</v>
      </c>
      <c r="D179" s="923"/>
      <c r="E179" s="924" t="s">
        <v>329</v>
      </c>
      <c r="F179" s="925" t="s">
        <v>528</v>
      </c>
      <c r="G179" s="926" t="s">
        <v>1444</v>
      </c>
      <c r="I179" s="923"/>
    </row>
    <row r="180" spans="1:9" s="927" customFormat="1" ht="23" x14ac:dyDescent="0.15">
      <c r="A180" s="618">
        <v>239</v>
      </c>
      <c r="B180" s="917"/>
      <c r="C180" s="918" t="str">
        <f t="shared" si="2"/>
        <v>Potenza di raff. media compressore</v>
      </c>
      <c r="D180" s="923"/>
      <c r="E180" s="924" t="s">
        <v>175</v>
      </c>
      <c r="F180" s="925" t="s">
        <v>720</v>
      </c>
      <c r="G180" s="926" t="s">
        <v>612</v>
      </c>
      <c r="I180" s="923"/>
    </row>
    <row r="181" spans="1:9" s="927" customFormat="1" ht="23" x14ac:dyDescent="0.15">
      <c r="A181" s="618">
        <v>240</v>
      </c>
      <c r="B181" s="917"/>
      <c r="C181" s="918" t="str">
        <f t="shared" si="2"/>
        <v>Temperature medie</v>
      </c>
      <c r="D181" s="923"/>
      <c r="E181" s="924" t="s">
        <v>103</v>
      </c>
      <c r="F181" s="925" t="s">
        <v>529</v>
      </c>
      <c r="G181" s="926" t="s">
        <v>1445</v>
      </c>
      <c r="I181" s="923"/>
    </row>
    <row r="182" spans="1:9" s="927" customFormat="1" ht="23" x14ac:dyDescent="0.15">
      <c r="A182" s="618">
        <v>241</v>
      </c>
      <c r="B182" s="917"/>
      <c r="C182" s="918" t="str">
        <f t="shared" si="2"/>
        <v>Montaggio sul posto</v>
      </c>
      <c r="D182" s="923"/>
      <c r="E182" s="924" t="s">
        <v>278</v>
      </c>
      <c r="F182" s="925" t="s">
        <v>530</v>
      </c>
      <c r="G182" s="926" t="s">
        <v>1446</v>
      </c>
      <c r="I182" s="923"/>
    </row>
    <row r="183" spans="1:9" s="927" customFormat="1" ht="23" x14ac:dyDescent="0.15">
      <c r="A183" s="618">
        <v>242</v>
      </c>
      <c r="B183" s="917"/>
      <c r="C183" s="918" t="str">
        <f t="shared" si="2"/>
        <v>Nome</v>
      </c>
      <c r="D183" s="923"/>
      <c r="E183" s="924" t="s">
        <v>5</v>
      </c>
      <c r="F183" s="925" t="s">
        <v>353</v>
      </c>
      <c r="G183" s="931" t="s">
        <v>1447</v>
      </c>
      <c r="I183" s="923"/>
    </row>
    <row r="184" spans="1:9" s="927" customFormat="1" ht="23" x14ac:dyDescent="0.15">
      <c r="A184" s="618">
        <v>243</v>
      </c>
      <c r="B184" s="917"/>
      <c r="C184" s="918" t="str">
        <f t="shared" si="2"/>
        <v>Nome del prodotto elettrico</v>
      </c>
      <c r="D184" s="923"/>
      <c r="E184" s="924" t="s">
        <v>59</v>
      </c>
      <c r="F184" s="925" t="s">
        <v>531</v>
      </c>
      <c r="G184" s="926" t="s">
        <v>1448</v>
      </c>
      <c r="I184" s="923"/>
    </row>
    <row r="185" spans="1:9" s="927" customFormat="1" ht="28" x14ac:dyDescent="0.15">
      <c r="A185" s="618">
        <v>244</v>
      </c>
      <c r="B185" s="917"/>
      <c r="C185" s="932" t="str">
        <f t="shared" si="2"/>
        <v>Prodotto elettrico svizzero da energia rinnovabile</v>
      </c>
      <c r="D185" s="923"/>
      <c r="E185" s="998" t="s">
        <v>1571</v>
      </c>
      <c r="F185" s="999" t="s">
        <v>1573</v>
      </c>
      <c r="G185" s="1001" t="s">
        <v>1572</v>
      </c>
      <c r="I185" s="923"/>
    </row>
    <row r="186" spans="1:9" s="927" customFormat="1" ht="28" x14ac:dyDescent="0.15">
      <c r="A186" s="618">
        <v>245</v>
      </c>
      <c r="B186" s="917"/>
      <c r="C186" s="932" t="str">
        <f t="shared" si="2"/>
        <v>Fornitori Mix di elettricità Garanzia di origine</v>
      </c>
      <c r="D186" s="923"/>
      <c r="E186" s="998" t="s">
        <v>1574</v>
      </c>
      <c r="F186" s="999" t="s">
        <v>1569</v>
      </c>
      <c r="G186" s="1001" t="s">
        <v>1570</v>
      </c>
      <c r="I186" s="923"/>
    </row>
    <row r="187" spans="1:9" s="927" customFormat="1" ht="23" x14ac:dyDescent="0.15">
      <c r="A187" s="618">
        <v>246</v>
      </c>
      <c r="B187" s="917"/>
      <c r="C187" s="932" t="str">
        <f t="shared" si="2"/>
        <v>Naturmade Star Energia eolica</v>
      </c>
      <c r="D187" s="923"/>
      <c r="E187" s="998" t="s">
        <v>68</v>
      </c>
      <c r="F187" s="999" t="s">
        <v>532</v>
      </c>
      <c r="G187" s="1000" t="s">
        <v>1568</v>
      </c>
      <c r="I187" s="923"/>
    </row>
    <row r="188" spans="1:9" s="927" customFormat="1" ht="23" x14ac:dyDescent="0.15">
      <c r="A188" s="618">
        <v>247</v>
      </c>
      <c r="B188" s="917"/>
      <c r="C188" s="918" t="str">
        <f t="shared" si="2"/>
        <v>No</v>
      </c>
      <c r="D188" s="923"/>
      <c r="E188" s="924" t="s">
        <v>216</v>
      </c>
      <c r="F188" s="925" t="s">
        <v>533</v>
      </c>
      <c r="G188" s="926" t="s">
        <v>1449</v>
      </c>
      <c r="I188" s="923"/>
    </row>
    <row r="189" spans="1:9" s="927" customFormat="1" ht="23" x14ac:dyDescent="0.15">
      <c r="A189" s="618">
        <v>248</v>
      </c>
      <c r="B189" s="917"/>
      <c r="C189" s="918" t="str">
        <f t="shared" si="2"/>
        <v>Temperatura di utilizzo</v>
      </c>
      <c r="D189" s="923"/>
      <c r="E189" s="924" t="s">
        <v>84</v>
      </c>
      <c r="F189" s="925" t="s">
        <v>354</v>
      </c>
      <c r="G189" s="931" t="s">
        <v>1450</v>
      </c>
      <c r="I189" s="923"/>
    </row>
    <row r="190" spans="1:9" s="927" customFormat="1" ht="23" x14ac:dyDescent="0.15">
      <c r="A190" s="618">
        <v>249</v>
      </c>
      <c r="B190" s="917"/>
      <c r="C190" s="918" t="str">
        <f t="shared" si="2"/>
        <v>Oggetto</v>
      </c>
      <c r="D190" s="923"/>
      <c r="E190" s="924" t="s">
        <v>262</v>
      </c>
      <c r="F190" s="925" t="s">
        <v>355</v>
      </c>
      <c r="G190" s="931" t="s">
        <v>1451</v>
      </c>
      <c r="I190" s="923"/>
    </row>
    <row r="191" spans="1:9" s="927" customFormat="1" ht="23" x14ac:dyDescent="0.15">
      <c r="A191" s="618">
        <v>250</v>
      </c>
      <c r="B191" s="917"/>
      <c r="C191" s="918" t="str">
        <f t="shared" si="2"/>
        <v>P elettrica</v>
      </c>
      <c r="D191" s="923"/>
      <c r="E191" s="924" t="s">
        <v>88</v>
      </c>
      <c r="F191" s="925" t="s">
        <v>356</v>
      </c>
      <c r="G191" s="931" t="s">
        <v>1452</v>
      </c>
      <c r="I191" s="923"/>
    </row>
    <row r="192" spans="1:9" s="927" customFormat="1" ht="23" x14ac:dyDescent="0.15">
      <c r="A192" s="618">
        <v>251</v>
      </c>
      <c r="B192" s="917"/>
      <c r="C192" s="918" t="str">
        <f t="shared" si="2"/>
        <v>Pe (corr.)</v>
      </c>
      <c r="D192" s="923"/>
      <c r="E192" s="924" t="s">
        <v>340</v>
      </c>
      <c r="F192" s="925" t="s">
        <v>357</v>
      </c>
      <c r="G192" s="931" t="s">
        <v>1453</v>
      </c>
      <c r="I192" s="923"/>
    </row>
    <row r="193" spans="1:9" s="927" customFormat="1" ht="23" x14ac:dyDescent="0.15">
      <c r="A193" s="618">
        <v>252</v>
      </c>
      <c r="B193" s="917"/>
      <c r="C193" s="918" t="str">
        <f t="shared" si="2"/>
        <v>Preventivo-manutenzione e materiale</v>
      </c>
      <c r="D193" s="923"/>
      <c r="E193" s="924" t="s">
        <v>297</v>
      </c>
      <c r="F193" s="925" t="s">
        <v>534</v>
      </c>
      <c r="G193" s="926" t="s">
        <v>1454</v>
      </c>
      <c r="I193" s="923"/>
    </row>
    <row r="194" spans="1:9" s="927" customFormat="1" ht="23" x14ac:dyDescent="0.15">
      <c r="A194" s="618">
        <v>253</v>
      </c>
      <c r="B194" s="917"/>
      <c r="C194" s="918" t="str">
        <f t="shared" si="2"/>
        <v>Preventivo-manutenzione senza materiale</v>
      </c>
      <c r="D194" s="923"/>
      <c r="E194" s="924" t="s">
        <v>300</v>
      </c>
      <c r="F194" s="925" t="s">
        <v>535</v>
      </c>
      <c r="G194" s="926" t="s">
        <v>1455</v>
      </c>
      <c r="I194" s="923"/>
    </row>
    <row r="195" spans="1:9" s="927" customFormat="1" ht="23" x14ac:dyDescent="0.15">
      <c r="A195" s="618">
        <v>254</v>
      </c>
      <c r="B195" s="917"/>
      <c r="C195" s="918" t="str">
        <f t="shared" si="2"/>
        <v>Prezzo compensazione CO2</v>
      </c>
      <c r="D195" s="923"/>
      <c r="E195" s="924" t="s">
        <v>63</v>
      </c>
      <c r="F195" s="925" t="s">
        <v>536</v>
      </c>
      <c r="G195" s="926" t="s">
        <v>1456</v>
      </c>
      <c r="I195" s="923"/>
    </row>
    <row r="196" spans="1:9" s="927" customFormat="1" ht="23" x14ac:dyDescent="0.15">
      <c r="A196" s="618">
        <v>255</v>
      </c>
      <c r="B196" s="917"/>
      <c r="C196" s="918" t="str">
        <f t="shared" si="2"/>
        <v>Pompe nel circolo raff. di ritorno</v>
      </c>
      <c r="D196" s="923"/>
      <c r="E196" s="924" t="s">
        <v>90</v>
      </c>
      <c r="F196" s="925" t="s">
        <v>613</v>
      </c>
      <c r="G196" s="926" t="s">
        <v>611</v>
      </c>
      <c r="I196" s="923"/>
    </row>
    <row r="197" spans="1:9" s="927" customFormat="1" ht="23" x14ac:dyDescent="0.15">
      <c r="A197" s="618">
        <v>256</v>
      </c>
      <c r="B197" s="917"/>
      <c r="C197" s="918" t="str">
        <f t="shared" si="2"/>
        <v>Trimestre</v>
      </c>
      <c r="D197" s="923"/>
      <c r="E197" s="924" t="s">
        <v>115</v>
      </c>
      <c r="F197" s="925" t="s">
        <v>537</v>
      </c>
      <c r="G197" s="926" t="s">
        <v>1457</v>
      </c>
      <c r="I197" s="923"/>
    </row>
    <row r="198" spans="1:9" s="927" customFormat="1" ht="23" x14ac:dyDescent="0.15">
      <c r="A198" s="618">
        <v>257</v>
      </c>
      <c r="B198" s="917"/>
      <c r="C198" s="918" t="str">
        <f t="shared" si="2"/>
        <v>Verifica fonte</v>
      </c>
      <c r="D198" s="923"/>
      <c r="E198" s="924" t="s">
        <v>233</v>
      </c>
      <c r="F198" s="925" t="s">
        <v>538</v>
      </c>
      <c r="G198" s="926" t="s">
        <v>1458</v>
      </c>
      <c r="I198" s="923"/>
    </row>
    <row r="199" spans="1:9" s="927" customFormat="1" ht="23" x14ac:dyDescent="0.15">
      <c r="A199" s="618">
        <v>258</v>
      </c>
      <c r="B199" s="917"/>
      <c r="C199" s="918" t="str">
        <f t="shared" si="2"/>
        <v>R1270 (propilene)</v>
      </c>
      <c r="D199" s="923"/>
      <c r="E199" s="924" t="s">
        <v>282</v>
      </c>
      <c r="F199" s="925" t="s">
        <v>539</v>
      </c>
      <c r="G199" s="926" t="s">
        <v>1459</v>
      </c>
      <c r="I199" s="923"/>
    </row>
    <row r="200" spans="1:9" s="927" customFormat="1" ht="23" x14ac:dyDescent="0.15">
      <c r="A200" s="618">
        <v>259</v>
      </c>
      <c r="B200" s="917"/>
      <c r="C200" s="918" t="str">
        <f t="shared" si="2"/>
        <v>R290 (propano)</v>
      </c>
      <c r="D200" s="923"/>
      <c r="E200" s="924" t="s">
        <v>281</v>
      </c>
      <c r="F200" s="925" t="s">
        <v>540</v>
      </c>
      <c r="G200" s="926" t="s">
        <v>1460</v>
      </c>
      <c r="I200" s="923"/>
    </row>
    <row r="201" spans="1:9" s="927" customFormat="1" ht="23" x14ac:dyDescent="0.15">
      <c r="A201" s="618">
        <v>260</v>
      </c>
      <c r="B201" s="917"/>
      <c r="C201" s="918" t="str">
        <f t="shared" si="2"/>
        <v>R717 (ammoniaca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Temperatura aria ambiente</v>
      </c>
      <c r="D203" s="923"/>
      <c r="E203" s="924" t="s">
        <v>316</v>
      </c>
      <c r="F203" s="925" t="s">
        <v>542</v>
      </c>
      <c r="G203" s="926" t="s">
        <v>1463</v>
      </c>
      <c r="I203" s="923"/>
    </row>
    <row r="204" spans="1:9" s="927" customFormat="1" ht="23" x14ac:dyDescent="0.15">
      <c r="A204" s="618">
        <v>264</v>
      </c>
      <c r="B204" s="917"/>
      <c r="C204" s="918" t="str">
        <f t="shared" si="2"/>
        <v>Fattore di riciclo</v>
      </c>
      <c r="D204" s="923"/>
      <c r="E204" s="924" t="s">
        <v>54</v>
      </c>
      <c r="F204" s="925" t="s">
        <v>543</v>
      </c>
      <c r="G204" s="926" t="s">
        <v>1464</v>
      </c>
      <c r="I204" s="923"/>
    </row>
    <row r="205" spans="1:9" s="927" customFormat="1" ht="23" x14ac:dyDescent="0.15">
      <c r="A205" s="618">
        <v>265</v>
      </c>
      <c r="B205" s="917"/>
      <c r="C205" s="918" t="str">
        <f t="shared" si="2"/>
        <v>Regolazione</v>
      </c>
      <c r="D205" s="923"/>
      <c r="E205" s="924" t="s">
        <v>128</v>
      </c>
      <c r="F205" s="925" t="s">
        <v>544</v>
      </c>
      <c r="G205" s="926" t="s">
        <v>1465</v>
      </c>
      <c r="I205" s="923"/>
    </row>
    <row r="206" spans="1:9" s="927" customFormat="1" ht="23" x14ac:dyDescent="0.15">
      <c r="A206" s="618">
        <v>266</v>
      </c>
      <c r="B206" s="917"/>
      <c r="C206" s="918" t="str">
        <f t="shared" ref="C206:C269" si="3">IF(C$12=F$12,F206,IF(C$12=G$12,G206,E206))</f>
        <v>Tipo di regolazione</v>
      </c>
      <c r="D206" s="923"/>
      <c r="E206" s="924" t="s">
        <v>89</v>
      </c>
      <c r="F206" s="925" t="s">
        <v>358</v>
      </c>
      <c r="G206" s="931" t="s">
        <v>1466</v>
      </c>
      <c r="I206" s="923"/>
    </row>
    <row r="207" spans="1:9" s="927" customFormat="1" ht="32" x14ac:dyDescent="0.15">
      <c r="A207" s="618">
        <v>268</v>
      </c>
      <c r="B207" s="917"/>
      <c r="C207" s="918" t="str">
        <f t="shared" si="3"/>
        <v>Temperatura media dell'acqua di raffreddamento di ritorno</v>
      </c>
      <c r="D207" s="923"/>
      <c r="E207" s="924" t="s">
        <v>1070</v>
      </c>
      <c r="F207" s="925" t="s">
        <v>621</v>
      </c>
      <c r="G207" s="930" t="s">
        <v>661</v>
      </c>
      <c r="I207" s="923"/>
    </row>
    <row r="208" spans="1:9" s="927" customFormat="1" ht="23" x14ac:dyDescent="0.15">
      <c r="A208" s="618">
        <v>271</v>
      </c>
      <c r="B208" s="917"/>
      <c r="C208" s="918" t="str">
        <f t="shared" si="3"/>
        <v>Consumo misto svizzero</v>
      </c>
      <c r="D208" s="923"/>
      <c r="E208" s="924" t="s">
        <v>1567</v>
      </c>
      <c r="F208" s="925" t="s">
        <v>773</v>
      </c>
      <c r="G208" s="926" t="s">
        <v>1467</v>
      </c>
      <c r="I208" s="923"/>
    </row>
    <row r="209" spans="1:9" s="927" customFormat="1" ht="32" x14ac:dyDescent="0.15">
      <c r="A209" s="618">
        <v>272</v>
      </c>
      <c r="B209" s="917"/>
      <c r="C209" s="918" t="str">
        <f t="shared" si="3"/>
        <v>Chilometri che si possono percorrere con una vettura di cilindrata media (7.5litri/100 km) all'anno</v>
      </c>
      <c r="D209" s="923"/>
      <c r="E209" s="924" t="s">
        <v>38</v>
      </c>
      <c r="F209" s="925" t="s">
        <v>545</v>
      </c>
      <c r="G209" s="926" t="s">
        <v>1468</v>
      </c>
      <c r="I209" s="923"/>
    </row>
    <row r="210" spans="1:9" s="927" customFormat="1" ht="28" x14ac:dyDescent="0.15">
      <c r="A210" s="618">
        <v>273</v>
      </c>
      <c r="B210" s="917"/>
      <c r="C210" s="918" t="str">
        <f t="shared" si="3"/>
        <v>Spese per la compensazione della CO2 all'anno</v>
      </c>
      <c r="D210" s="923"/>
      <c r="E210" s="924" t="s">
        <v>748</v>
      </c>
      <c r="F210" s="925" t="s">
        <v>749</v>
      </c>
      <c r="G210" s="926" t="s">
        <v>1469</v>
      </c>
      <c r="I210" s="923"/>
    </row>
    <row r="211" spans="1:9" s="927" customFormat="1" ht="23" x14ac:dyDescent="0.15">
      <c r="A211" s="618">
        <v>274</v>
      </c>
      <c r="B211" s="917"/>
      <c r="C211" s="918" t="str">
        <f t="shared" si="3"/>
        <v>Numero di camion con ...</v>
      </c>
      <c r="D211" s="923"/>
      <c r="E211" s="924" t="s">
        <v>43</v>
      </c>
      <c r="F211" s="925" t="s">
        <v>546</v>
      </c>
      <c r="G211" s="926" t="s">
        <v>1470</v>
      </c>
      <c r="I211" s="923"/>
    </row>
    <row r="212" spans="1:9" s="927" customFormat="1" ht="23" x14ac:dyDescent="0.15">
      <c r="A212" s="618">
        <v>275</v>
      </c>
      <c r="B212" s="917"/>
      <c r="C212" s="918" t="str">
        <f t="shared" si="3"/>
        <v>Estate</v>
      </c>
      <c r="D212" s="923"/>
      <c r="E212" s="924" t="s">
        <v>97</v>
      </c>
      <c r="F212" s="925" t="s">
        <v>359</v>
      </c>
      <c r="G212" s="931" t="s">
        <v>1471</v>
      </c>
      <c r="I212" s="923"/>
    </row>
    <row r="213" spans="1:9" s="927" customFormat="1" ht="23" x14ac:dyDescent="0.15">
      <c r="A213" s="618">
        <v>276</v>
      </c>
      <c r="B213" s="917"/>
      <c r="C213" s="918" t="str">
        <f t="shared" si="3"/>
        <v>San Gallo</v>
      </c>
      <c r="D213" s="923"/>
      <c r="E213" s="924" t="s">
        <v>108</v>
      </c>
      <c r="F213" s="925" t="s">
        <v>360</v>
      </c>
      <c r="G213" s="931" t="s">
        <v>1472</v>
      </c>
      <c r="I213" s="923"/>
    </row>
    <row r="214" spans="1:9" s="927" customFormat="1" ht="23" x14ac:dyDescent="0.15">
      <c r="A214" s="618">
        <v>277</v>
      </c>
      <c r="B214" s="917"/>
      <c r="C214" s="918" t="str">
        <f t="shared" si="3"/>
        <v>Profilo standard</v>
      </c>
      <c r="D214" s="923"/>
      <c r="E214" s="924" t="s">
        <v>157</v>
      </c>
      <c r="F214" s="925" t="s">
        <v>547</v>
      </c>
      <c r="G214" s="926" t="s">
        <v>1473</v>
      </c>
      <c r="I214" s="923"/>
    </row>
    <row r="215" spans="1:9" s="927" customFormat="1" ht="23" x14ac:dyDescent="0.15">
      <c r="A215" s="618">
        <v>278</v>
      </c>
      <c r="B215" s="917"/>
      <c r="C215" s="918" t="str">
        <f t="shared" si="3"/>
        <v>Valori standard</v>
      </c>
      <c r="D215" s="923"/>
      <c r="E215" s="924" t="s">
        <v>289</v>
      </c>
      <c r="F215" s="925" t="s">
        <v>548</v>
      </c>
      <c r="G215" s="926" t="s">
        <v>1474</v>
      </c>
      <c r="I215" s="923"/>
    </row>
    <row r="216" spans="1:9" s="927" customFormat="1" ht="23" x14ac:dyDescent="0.15">
      <c r="A216" s="618">
        <v>279</v>
      </c>
      <c r="B216" s="917"/>
      <c r="C216" s="918" t="str">
        <f t="shared" si="3"/>
        <v>Valori standard per il calcolo</v>
      </c>
      <c r="D216" s="923"/>
      <c r="E216" s="924" t="s">
        <v>48</v>
      </c>
      <c r="F216" s="925" t="s">
        <v>549</v>
      </c>
      <c r="G216" s="926" t="s">
        <v>1475</v>
      </c>
      <c r="I216" s="923"/>
    </row>
    <row r="217" spans="1:9" s="927" customFormat="1" ht="23" x14ac:dyDescent="0.15">
      <c r="A217" s="618">
        <v>280</v>
      </c>
      <c r="B217" s="917"/>
      <c r="C217" s="918" t="str">
        <f t="shared" si="3"/>
        <v>Sede (il clima corrisponde circa a...)</v>
      </c>
      <c r="D217" s="923"/>
      <c r="E217" s="924" t="s">
        <v>92</v>
      </c>
      <c r="F217" s="925" t="s">
        <v>550</v>
      </c>
      <c r="G217" s="926" t="s">
        <v>1476</v>
      </c>
      <c r="I217" s="923"/>
    </row>
    <row r="218" spans="1:9" s="927" customFormat="1" ht="23" x14ac:dyDescent="0.15">
      <c r="A218" s="618">
        <v>282</v>
      </c>
      <c r="B218" s="917"/>
      <c r="C218" s="918" t="str">
        <f t="shared" si="3"/>
        <v>Mix energetico</v>
      </c>
      <c r="D218" s="923"/>
      <c r="E218" s="924" t="s">
        <v>21</v>
      </c>
      <c r="F218" s="925" t="s">
        <v>551</v>
      </c>
      <c r="G218" s="926" t="s">
        <v>1477</v>
      </c>
      <c r="I218" s="923"/>
    </row>
    <row r="219" spans="1:9" s="927" customFormat="1" ht="23" x14ac:dyDescent="0.15">
      <c r="A219" s="618">
        <v>284</v>
      </c>
      <c r="B219" s="917"/>
      <c r="C219" s="918" t="str">
        <f t="shared" si="3"/>
        <v>Prezzo elettricità</v>
      </c>
      <c r="D219" s="923"/>
      <c r="E219" s="924" t="s">
        <v>210</v>
      </c>
      <c r="F219" s="925" t="s">
        <v>552</v>
      </c>
      <c r="G219" s="926" t="s">
        <v>1478</v>
      </c>
      <c r="I219" s="923"/>
    </row>
    <row r="220" spans="1:9" s="927" customFormat="1" ht="23" x14ac:dyDescent="0.15">
      <c r="A220" s="618">
        <v>285</v>
      </c>
      <c r="B220" s="917"/>
      <c r="C220" s="918" t="str">
        <f t="shared" si="3"/>
        <v>Prodotti elettrici</v>
      </c>
      <c r="D220" s="923"/>
      <c r="E220" s="924" t="s">
        <v>58</v>
      </c>
      <c r="F220" s="925" t="s">
        <v>553</v>
      </c>
      <c r="G220" s="926" t="s">
        <v>1479</v>
      </c>
      <c r="I220" s="923"/>
    </row>
    <row r="221" spans="1:9" s="927" customFormat="1" ht="23" x14ac:dyDescent="0.15">
      <c r="A221" s="618">
        <v>286</v>
      </c>
      <c r="B221" s="917"/>
      <c r="C221" s="918" t="str">
        <f t="shared" si="3"/>
        <v>Consumo elettrico macchina</v>
      </c>
      <c r="D221" s="923"/>
      <c r="E221" s="924" t="s">
        <v>126</v>
      </c>
      <c r="F221" s="925" t="s">
        <v>554</v>
      </c>
      <c r="G221" s="926" t="s">
        <v>1480</v>
      </c>
      <c r="I221" s="923"/>
    </row>
    <row r="222" spans="1:9" s="927" customFormat="1" ht="23" x14ac:dyDescent="0.15">
      <c r="A222" s="618">
        <v>287</v>
      </c>
      <c r="B222" s="917"/>
      <c r="C222" s="918" t="str">
        <f t="shared" si="3"/>
        <v>Consumo elettrico compressore</v>
      </c>
      <c r="D222" s="923"/>
      <c r="E222" s="924" t="s">
        <v>193</v>
      </c>
      <c r="F222" s="925" t="s">
        <v>555</v>
      </c>
      <c r="G222" s="926" t="s">
        <v>1481</v>
      </c>
      <c r="I222" s="923"/>
    </row>
    <row r="223" spans="1:9" s="927" customFormat="1" ht="23" x14ac:dyDescent="0.15">
      <c r="A223" s="618">
        <v>288</v>
      </c>
      <c r="B223" s="917"/>
      <c r="C223" s="918" t="str">
        <f t="shared" si="3"/>
        <v>Ore per trimestre</v>
      </c>
      <c r="D223" s="923"/>
      <c r="E223" s="924" t="s">
        <v>177</v>
      </c>
      <c r="F223" s="925" t="s">
        <v>556</v>
      </c>
      <c r="G223" s="926" t="s">
        <v>1482</v>
      </c>
      <c r="I223" s="923"/>
    </row>
    <row r="224" spans="1:9" s="927" customFormat="1" ht="23" x14ac:dyDescent="0.15">
      <c r="A224" s="618">
        <v>289</v>
      </c>
      <c r="B224" s="917"/>
      <c r="C224" s="918" t="str">
        <f t="shared" si="3"/>
        <v>Supermercato</v>
      </c>
      <c r="D224" s="923"/>
      <c r="E224" s="924" t="s">
        <v>16</v>
      </c>
      <c r="F224" s="925" t="s">
        <v>557</v>
      </c>
      <c r="G224" s="926" t="s">
        <v>1483</v>
      </c>
      <c r="I224" s="923"/>
    </row>
    <row r="225" spans="1:9" s="927" customFormat="1" ht="23" x14ac:dyDescent="0.15">
      <c r="A225" s="618">
        <v>290</v>
      </c>
      <c r="B225" s="917"/>
      <c r="C225" s="918" t="str">
        <f t="shared" si="3"/>
        <v>Giorni per trimestre</v>
      </c>
      <c r="D225" s="923"/>
      <c r="E225" s="924" t="s">
        <v>124</v>
      </c>
      <c r="F225" s="925" t="s">
        <v>558</v>
      </c>
      <c r="G225" s="926" t="s">
        <v>1484</v>
      </c>
      <c r="I225" s="923"/>
    </row>
    <row r="226" spans="1:9" s="927" customFormat="1" ht="23" x14ac:dyDescent="0.15">
      <c r="A226" s="618">
        <v>291</v>
      </c>
      <c r="B226" s="917"/>
      <c r="C226" s="918" t="str">
        <f t="shared" si="3"/>
        <v>Temperature medie diurne (dalle 5:40 alle17:40)</v>
      </c>
      <c r="D226" s="923"/>
      <c r="E226" s="924" t="s">
        <v>267</v>
      </c>
      <c r="F226" s="925" t="s">
        <v>559</v>
      </c>
      <c r="G226" s="926" t="s">
        <v>1485</v>
      </c>
      <c r="I226" s="923"/>
    </row>
    <row r="227" spans="1:9" s="927" customFormat="1" ht="23" x14ac:dyDescent="0.15">
      <c r="A227" s="618">
        <v>292</v>
      </c>
      <c r="B227" s="917"/>
      <c r="C227" s="918" t="str">
        <f t="shared" si="3"/>
        <v>Autocisterna</v>
      </c>
      <c r="D227" s="923"/>
      <c r="E227" s="924" t="s">
        <v>56</v>
      </c>
      <c r="F227" s="925" t="s">
        <v>560</v>
      </c>
      <c r="G227" s="926" t="s">
        <v>1486</v>
      </c>
      <c r="I227" s="923"/>
    </row>
    <row r="228" spans="1:9" s="927" customFormat="1" ht="23" x14ac:dyDescent="0.15">
      <c r="A228" s="618">
        <v>293</v>
      </c>
      <c r="B228" s="917"/>
      <c r="C228" s="918" t="str">
        <f t="shared" si="3"/>
        <v>«Bonus carico parziale»</v>
      </c>
      <c r="D228" s="923"/>
      <c r="E228" s="924" t="s">
        <v>330</v>
      </c>
      <c r="F228" s="925" t="s">
        <v>561</v>
      </c>
      <c r="G228" s="926" t="s">
        <v>1487</v>
      </c>
      <c r="I228" s="923"/>
    </row>
    <row r="229" spans="1:9" s="927" customFormat="1" ht="23" x14ac:dyDescent="0.15">
      <c r="A229" s="618">
        <v>294</v>
      </c>
      <c r="B229" s="917"/>
      <c r="C229" s="918" t="str">
        <f t="shared" si="3"/>
        <v>Temperature</v>
      </c>
      <c r="D229" s="923"/>
      <c r="E229" s="924" t="s">
        <v>308</v>
      </c>
      <c r="F229" s="925" t="s">
        <v>361</v>
      </c>
      <c r="G229" s="931" t="s">
        <v>1488</v>
      </c>
      <c r="I229" s="923"/>
    </row>
    <row r="230" spans="1:9" s="927" customFormat="1" ht="28" x14ac:dyDescent="0.15">
      <c r="A230" s="618">
        <v>295</v>
      </c>
      <c r="B230" s="917"/>
      <c r="C230" s="918" t="str">
        <f t="shared" si="3"/>
        <v>TEWI (Total Equivalent Warming Impact = effetto serra)</v>
      </c>
      <c r="D230" s="923"/>
      <c r="E230" s="924" t="s">
        <v>379</v>
      </c>
      <c r="F230" s="925" t="s">
        <v>562</v>
      </c>
      <c r="G230" s="926" t="s">
        <v>1489</v>
      </c>
      <c r="I230" s="923"/>
    </row>
    <row r="231" spans="1:9" s="927" customFormat="1" ht="23" x14ac:dyDescent="0.15">
      <c r="A231" s="618">
        <v>296</v>
      </c>
      <c r="B231" s="917"/>
      <c r="C231" s="918" t="str">
        <f t="shared" si="3"/>
        <v>Strumento TEWI</v>
      </c>
      <c r="D231" s="923"/>
      <c r="E231" s="924" t="s">
        <v>65</v>
      </c>
      <c r="F231" s="925" t="s">
        <v>563</v>
      </c>
      <c r="G231" s="926" t="s">
        <v>1490</v>
      </c>
      <c r="I231" s="923"/>
    </row>
    <row r="232" spans="1:9" s="927" customFormat="1" ht="23" x14ac:dyDescent="0.15">
      <c r="A232" s="618">
        <v>299</v>
      </c>
      <c r="B232" s="917"/>
      <c r="C232" s="918" t="str">
        <f t="shared" si="3"/>
        <v>Totale</v>
      </c>
      <c r="D232" s="923"/>
      <c r="E232" s="924" t="s">
        <v>100</v>
      </c>
      <c r="F232" s="925" t="s">
        <v>100</v>
      </c>
      <c r="G232" s="926" t="s">
        <v>1491</v>
      </c>
      <c r="I232" s="923"/>
    </row>
    <row r="233" spans="1:9" s="927" customFormat="1" ht="23" x14ac:dyDescent="0.15">
      <c r="A233" s="618">
        <v>300</v>
      </c>
      <c r="B233" s="917"/>
      <c r="C233" s="918" t="str">
        <f t="shared" si="3"/>
        <v>Emissioni CO2 totali</v>
      </c>
      <c r="D233" s="923"/>
      <c r="E233" s="924" t="s">
        <v>235</v>
      </c>
      <c r="F233" s="925" t="s">
        <v>564</v>
      </c>
      <c r="G233" s="926" t="s">
        <v>1492</v>
      </c>
      <c r="I233" s="923"/>
    </row>
    <row r="234" spans="1:9" s="927" customFormat="1" ht="23" x14ac:dyDescent="0.15">
      <c r="A234" s="618">
        <v>301</v>
      </c>
      <c r="B234" s="917"/>
      <c r="C234" s="918" t="str">
        <f t="shared" si="3"/>
        <v>Consumo totale di elettricità</v>
      </c>
      <c r="D234" s="923"/>
      <c r="E234" s="924" t="s">
        <v>142</v>
      </c>
      <c r="F234" s="925" t="s">
        <v>362</v>
      </c>
      <c r="G234" s="931" t="s">
        <v>1493</v>
      </c>
      <c r="I234" s="923"/>
    </row>
    <row r="235" spans="1:9" s="927" customFormat="1" ht="23" x14ac:dyDescent="0.15">
      <c r="A235" s="1073">
        <v>302</v>
      </c>
      <c r="B235" s="917"/>
      <c r="C235" s="918" t="str">
        <f t="shared" si="3"/>
        <v>Panoramica degli strumenti</v>
      </c>
      <c r="D235" s="923"/>
      <c r="E235" s="924" t="s">
        <v>1697</v>
      </c>
      <c r="F235" s="925" t="s">
        <v>565</v>
      </c>
      <c r="G235" s="926" t="s">
        <v>1494</v>
      </c>
      <c r="I235" s="923"/>
    </row>
    <row r="236" spans="1:9" s="927" customFormat="1" ht="23" x14ac:dyDescent="0.15">
      <c r="A236" s="618">
        <v>309</v>
      </c>
      <c r="B236" s="917"/>
      <c r="C236" s="918" t="str">
        <f t="shared" si="3"/>
        <v>inserire i valori sotto</v>
      </c>
      <c r="D236" s="923"/>
      <c r="E236" s="924" t="s">
        <v>60</v>
      </c>
      <c r="F236" s="925" t="s">
        <v>566</v>
      </c>
      <c r="G236" s="926" t="s">
        <v>1495</v>
      </c>
      <c r="I236" s="923"/>
    </row>
    <row r="237" spans="1:9" s="927" customFormat="1" ht="23" x14ac:dyDescent="0.15">
      <c r="A237" s="618">
        <v>310</v>
      </c>
      <c r="B237" s="917"/>
      <c r="C237" s="918" t="str">
        <f t="shared" si="3"/>
        <v>Spese di manutenzione</v>
      </c>
      <c r="D237" s="923"/>
      <c r="E237" s="924" t="s">
        <v>713</v>
      </c>
      <c r="F237" s="925" t="s">
        <v>714</v>
      </c>
      <c r="G237" s="926" t="s">
        <v>1496</v>
      </c>
      <c r="I237" s="923"/>
    </row>
    <row r="238" spans="1:9" s="927" customFormat="1" ht="23" x14ac:dyDescent="0.15">
      <c r="A238" s="618">
        <v>311</v>
      </c>
      <c r="B238" s="917"/>
      <c r="C238" s="918" t="str">
        <f t="shared" si="3"/>
        <v>Spese di manutenzione</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Ventilatori gruppo freddo</v>
      </c>
      <c r="D241" s="923"/>
      <c r="E241" s="924" t="s">
        <v>168</v>
      </c>
      <c r="F241" s="925" t="s">
        <v>716</v>
      </c>
      <c r="G241" s="926" t="s">
        <v>1499</v>
      </c>
      <c r="I241" s="923"/>
    </row>
    <row r="242" spans="1:9" s="927" customFormat="1" ht="23" x14ac:dyDescent="0.15">
      <c r="A242" s="618">
        <v>315</v>
      </c>
      <c r="B242" s="917"/>
      <c r="C242" s="918" t="str">
        <f t="shared" si="3"/>
        <v>Ventilatori raffreddato /condensatore</v>
      </c>
      <c r="D242" s="923"/>
      <c r="E242" s="924" t="s">
        <v>91</v>
      </c>
      <c r="F242" s="925" t="s">
        <v>567</v>
      </c>
      <c r="G242" s="926" t="s">
        <v>1500</v>
      </c>
      <c r="I242" s="926"/>
    </row>
    <row r="243" spans="1:9" s="927" customFormat="1" ht="23" x14ac:dyDescent="0.15">
      <c r="A243" s="618">
        <v>316</v>
      </c>
      <c r="B243" s="917"/>
      <c r="C243" s="918" t="str">
        <f t="shared" si="3"/>
        <v>Ventilatori raffreddato /condensatore</v>
      </c>
      <c r="D243" s="923"/>
      <c r="E243" s="924" t="s">
        <v>273</v>
      </c>
      <c r="F243" s="925" t="s">
        <v>712</v>
      </c>
      <c r="G243" s="926" t="s">
        <v>1500</v>
      </c>
      <c r="I243" s="926"/>
    </row>
    <row r="244" spans="1:9" s="927" customFormat="1" ht="23" x14ac:dyDescent="0.15">
      <c r="A244" s="618">
        <v>318</v>
      </c>
      <c r="B244" s="917"/>
      <c r="C244" s="918" t="str">
        <f t="shared" si="3"/>
        <v>Miglioramenti COP complessivo</v>
      </c>
      <c r="D244" s="923"/>
      <c r="E244" s="924" t="s">
        <v>207</v>
      </c>
      <c r="F244" s="925" t="s">
        <v>568</v>
      </c>
      <c r="G244" s="926" t="s">
        <v>1501</v>
      </c>
      <c r="I244" s="923"/>
    </row>
    <row r="245" spans="1:9" s="927" customFormat="1" ht="23" x14ac:dyDescent="0.15">
      <c r="A245" s="618">
        <v>319</v>
      </c>
      <c r="B245" s="917"/>
      <c r="C245" s="918" t="str">
        <f t="shared" si="3"/>
        <v>Miglioramento con funz. carico parziale</v>
      </c>
      <c r="D245" s="923"/>
      <c r="E245" s="924" t="s">
        <v>206</v>
      </c>
      <c r="F245" s="925" t="s">
        <v>569</v>
      </c>
      <c r="G245" s="926" t="s">
        <v>610</v>
      </c>
      <c r="I245" s="923"/>
    </row>
    <row r="246" spans="1:9" s="927" customFormat="1" ht="23" x14ac:dyDescent="0.15">
      <c r="A246" s="618">
        <v>320</v>
      </c>
      <c r="B246" s="917"/>
      <c r="C246" s="918" t="str">
        <f t="shared" si="3"/>
        <v>Temperatura d'evaporazione</v>
      </c>
      <c r="D246" s="923"/>
      <c r="E246" s="924" t="s">
        <v>86</v>
      </c>
      <c r="F246" s="925" t="s">
        <v>363</v>
      </c>
      <c r="G246" s="931" t="s">
        <v>1502</v>
      </c>
      <c r="I246" s="923"/>
    </row>
    <row r="247" spans="1:9" s="927" customFormat="1" ht="23" x14ac:dyDescent="0.15">
      <c r="A247" s="618">
        <v>321</v>
      </c>
      <c r="B247" s="917"/>
      <c r="C247" s="918" t="str">
        <f t="shared" si="3"/>
        <v>Compressore</v>
      </c>
      <c r="D247" s="923"/>
      <c r="E247" s="924" t="s">
        <v>191</v>
      </c>
      <c r="F247" s="925" t="s">
        <v>368</v>
      </c>
      <c r="G247" s="931" t="s">
        <v>1503</v>
      </c>
      <c r="I247" s="923"/>
    </row>
    <row r="248" spans="1:9" s="927" customFormat="1" ht="23" x14ac:dyDescent="0.15">
      <c r="A248" s="618">
        <v>322</v>
      </c>
      <c r="B248" s="917"/>
      <c r="C248" s="918" t="str">
        <f t="shared" si="3"/>
        <v>Compressore 1</v>
      </c>
      <c r="D248" s="923"/>
      <c r="E248" s="924" t="s">
        <v>162</v>
      </c>
      <c r="F248" s="925" t="s">
        <v>364</v>
      </c>
      <c r="G248" s="931" t="s">
        <v>1504</v>
      </c>
      <c r="I248" s="923"/>
    </row>
    <row r="249" spans="1:9" s="927" customFormat="1" ht="23" x14ac:dyDescent="0.15">
      <c r="A249" s="618">
        <v>323</v>
      </c>
      <c r="B249" s="917"/>
      <c r="C249" s="918" t="str">
        <f t="shared" si="3"/>
        <v>Compressore 2</v>
      </c>
      <c r="D249" s="923"/>
      <c r="E249" s="924" t="s">
        <v>164</v>
      </c>
      <c r="F249" s="925" t="s">
        <v>365</v>
      </c>
      <c r="G249" s="931" t="s">
        <v>1505</v>
      </c>
      <c r="I249" s="923"/>
    </row>
    <row r="250" spans="1:9" s="927" customFormat="1" ht="23" x14ac:dyDescent="0.15">
      <c r="A250" s="618">
        <v>324</v>
      </c>
      <c r="B250" s="917"/>
      <c r="C250" s="918" t="str">
        <f t="shared" si="3"/>
        <v>Compressore 3</v>
      </c>
      <c r="D250" s="923"/>
      <c r="E250" s="924" t="s">
        <v>165</v>
      </c>
      <c r="F250" s="925" t="s">
        <v>366</v>
      </c>
      <c r="G250" s="931" t="s">
        <v>1506</v>
      </c>
      <c r="I250" s="923"/>
    </row>
    <row r="251" spans="1:9" s="927" customFormat="1" ht="23" x14ac:dyDescent="0.15">
      <c r="A251" s="618">
        <v>325</v>
      </c>
      <c r="B251" s="917"/>
      <c r="C251" s="918" t="str">
        <f t="shared" si="3"/>
        <v>Compressore 4</v>
      </c>
      <c r="D251" s="923"/>
      <c r="E251" s="924" t="s">
        <v>166</v>
      </c>
      <c r="F251" s="925" t="s">
        <v>367</v>
      </c>
      <c r="G251" s="931" t="s">
        <v>1507</v>
      </c>
      <c r="I251" s="923"/>
    </row>
    <row r="252" spans="1:9" s="927" customFormat="1" ht="23" x14ac:dyDescent="0.15">
      <c r="A252" s="618">
        <v>326</v>
      </c>
      <c r="B252" s="917"/>
      <c r="C252" s="918" t="str">
        <f t="shared" si="3"/>
        <v>Compressore con potenza massima</v>
      </c>
      <c r="D252" s="923"/>
      <c r="E252" s="924" t="s">
        <v>204</v>
      </c>
      <c r="F252" s="925" t="s">
        <v>570</v>
      </c>
      <c r="G252" s="926" t="s">
        <v>1508</v>
      </c>
      <c r="I252" s="923"/>
    </row>
    <row r="253" spans="1:9" s="927" customFormat="1" ht="23" x14ac:dyDescent="0.15">
      <c r="A253" s="618">
        <v>327</v>
      </c>
      <c r="B253" s="917"/>
      <c r="C253" s="918" t="str">
        <f t="shared" si="3"/>
        <v>Spegnimento livello compressore</v>
      </c>
      <c r="D253" s="923"/>
      <c r="E253" s="924" t="s">
        <v>1071</v>
      </c>
      <c r="F253" s="925" t="s">
        <v>571</v>
      </c>
      <c r="G253" s="926" t="s">
        <v>1509</v>
      </c>
      <c r="I253" s="923"/>
    </row>
    <row r="254" spans="1:9" s="927" customFormat="1" ht="23" x14ac:dyDescent="0.15">
      <c r="A254" s="618">
        <v>328</v>
      </c>
      <c r="B254" s="917"/>
      <c r="C254" s="918" t="str">
        <f t="shared" si="3"/>
        <v>Temperatura condensazione</v>
      </c>
      <c r="D254" s="923"/>
      <c r="E254" s="924" t="s">
        <v>274</v>
      </c>
      <c r="F254" s="925" t="s">
        <v>622</v>
      </c>
      <c r="G254" s="930" t="s">
        <v>1865</v>
      </c>
      <c r="I254" s="923"/>
    </row>
    <row r="255" spans="1:9" s="927" customFormat="1" ht="23" x14ac:dyDescent="0.15">
      <c r="A255" s="618">
        <v>329</v>
      </c>
      <c r="B255" s="917"/>
      <c r="C255" s="918" t="str">
        <f>IF(C$12=F$12,F255,IF(C$12=G$12,G255,E255))</f>
        <v>Versione: 2023/V6.2</v>
      </c>
      <c r="D255" s="923"/>
      <c r="E255" s="924" t="s">
        <v>1920</v>
      </c>
      <c r="F255" s="925" t="s">
        <v>1920</v>
      </c>
      <c r="G255" s="930" t="s">
        <v>1921</v>
      </c>
      <c r="I255" s="923"/>
    </row>
    <row r="256" spans="1:9" s="927" customFormat="1" ht="23" x14ac:dyDescent="0.15">
      <c r="A256" s="618">
        <v>330</v>
      </c>
      <c r="B256" s="917"/>
      <c r="C256" s="918" t="str">
        <f t="shared" si="3"/>
        <v>Ore d'esercizio a pieno regime</v>
      </c>
      <c r="D256" s="923"/>
      <c r="E256" s="924" t="s">
        <v>341</v>
      </c>
      <c r="F256" s="925" t="s">
        <v>572</v>
      </c>
      <c r="G256" s="926" t="s">
        <v>1510</v>
      </c>
      <c r="I256" s="923"/>
    </row>
    <row r="257" spans="1:9" s="927" customFormat="1" ht="23" x14ac:dyDescent="0.15">
      <c r="A257" s="618">
        <v>331</v>
      </c>
      <c r="B257" s="917"/>
      <c r="C257" s="918" t="str">
        <f t="shared" si="3"/>
        <v>Ore d'esercizio a pieno regime (effettive)</v>
      </c>
      <c r="D257" s="923"/>
      <c r="E257" s="924" t="s">
        <v>183</v>
      </c>
      <c r="F257" s="925" t="s">
        <v>719</v>
      </c>
      <c r="G257" s="926" t="s">
        <v>1511</v>
      </c>
      <c r="I257" s="923"/>
    </row>
    <row r="258" spans="1:9" s="927" customFormat="1" ht="23" x14ac:dyDescent="0.15">
      <c r="A258" s="618">
        <v>332</v>
      </c>
      <c r="B258" s="917"/>
      <c r="C258" s="918" t="str">
        <f t="shared" si="3"/>
        <v>Ore d'esercizio a pieno regime della macchina</v>
      </c>
      <c r="D258" s="923"/>
      <c r="E258" s="924" t="s">
        <v>159</v>
      </c>
      <c r="F258" s="925" t="s">
        <v>718</v>
      </c>
      <c r="G258" s="926" t="s">
        <v>1512</v>
      </c>
      <c r="I258" s="923"/>
    </row>
    <row r="259" spans="1:9" s="927" customFormat="1" ht="23" x14ac:dyDescent="0.15">
      <c r="A259" s="618">
        <v>333</v>
      </c>
      <c r="B259" s="917"/>
      <c r="C259" s="918" t="str">
        <f t="shared" si="3"/>
        <v>Ore d'esercizio a pieno regime per trimestre</v>
      </c>
      <c r="D259" s="923"/>
      <c r="E259" s="924" t="s">
        <v>181</v>
      </c>
      <c r="F259" s="925" t="s">
        <v>717</v>
      </c>
      <c r="G259" s="926" t="s">
        <v>1513</v>
      </c>
      <c r="I259" s="923"/>
    </row>
    <row r="260" spans="1:9" s="927" customFormat="1" ht="23" x14ac:dyDescent="0.15">
      <c r="A260" s="618">
        <v>334</v>
      </c>
      <c r="B260" s="917"/>
      <c r="C260" s="918" t="str">
        <f t="shared" si="3"/>
        <v>Ore d'esercizio a pieno regime al giorno</v>
      </c>
      <c r="D260" s="923"/>
      <c r="E260" s="924" t="s">
        <v>182</v>
      </c>
      <c r="F260" s="925" t="s">
        <v>573</v>
      </c>
      <c r="G260" s="926" t="s">
        <v>1514</v>
      </c>
      <c r="I260" s="923"/>
    </row>
    <row r="261" spans="1:9" s="927" customFormat="1" ht="23" x14ac:dyDescent="0.15">
      <c r="A261" s="618">
        <v>335</v>
      </c>
      <c r="B261" s="917"/>
      <c r="C261" s="918" t="str">
        <f t="shared" si="3"/>
        <v>Servizio completo</v>
      </c>
      <c r="D261" s="923"/>
      <c r="E261" s="924" t="s">
        <v>299</v>
      </c>
      <c r="F261" s="925" t="s">
        <v>574</v>
      </c>
      <c r="G261" s="926" t="s">
        <v>1515</v>
      </c>
      <c r="I261" s="923"/>
    </row>
    <row r="262" spans="1:9" s="927" customFormat="1" ht="23" x14ac:dyDescent="0.15">
      <c r="A262" s="618">
        <v>337</v>
      </c>
      <c r="B262" s="917"/>
      <c r="C262" s="918" t="str">
        <f t="shared" si="3"/>
        <v>Servizio completo (materiali inclusi)</v>
      </c>
      <c r="D262" s="923"/>
      <c r="E262" s="924" t="s">
        <v>290</v>
      </c>
      <c r="F262" s="925" t="s">
        <v>575</v>
      </c>
      <c r="G262" s="926" t="s">
        <v>1516</v>
      </c>
      <c r="I262" s="923"/>
    </row>
    <row r="263" spans="1:9" s="927" customFormat="1" ht="23" x14ac:dyDescent="0.15">
      <c r="A263" s="618">
        <v>339</v>
      </c>
      <c r="B263" s="917"/>
      <c r="C263" s="918" t="str">
        <f t="shared" si="3"/>
        <v>Pompe circolazione caldo</v>
      </c>
      <c r="D263" s="923"/>
      <c r="E263" s="924" t="s">
        <v>167</v>
      </c>
      <c r="F263" s="925" t="s">
        <v>576</v>
      </c>
      <c r="G263" s="926" t="s">
        <v>1517</v>
      </c>
      <c r="I263" s="923"/>
    </row>
    <row r="264" spans="1:9" s="927" customFormat="1" ht="23" x14ac:dyDescent="0.15">
      <c r="A264" s="618">
        <v>340</v>
      </c>
      <c r="B264" s="917"/>
      <c r="C264" s="918" t="str">
        <f t="shared" si="3"/>
        <v>Spese di manutenzione</v>
      </c>
      <c r="D264" s="923"/>
      <c r="E264" s="924" t="s">
        <v>248</v>
      </c>
      <c r="F264" s="925" t="s">
        <v>577</v>
      </c>
      <c r="G264" s="926" t="s">
        <v>1496</v>
      </c>
      <c r="I264" s="923"/>
    </row>
    <row r="265" spans="1:9" s="927" customFormat="1" ht="23" x14ac:dyDescent="0.15">
      <c r="A265" s="618">
        <v>341</v>
      </c>
      <c r="B265" s="917"/>
      <c r="C265" s="918" t="str">
        <f t="shared" si="3"/>
        <v>Cosa si vuole calcolare?</v>
      </c>
      <c r="D265" s="923"/>
      <c r="E265" s="924" t="s">
        <v>264</v>
      </c>
      <c r="F265" s="925" t="s">
        <v>578</v>
      </c>
      <c r="G265" s="926" t="s">
        <v>1518</v>
      </c>
      <c r="I265" s="923"/>
    </row>
    <row r="266" spans="1:9" s="927" customFormat="1" ht="23" x14ac:dyDescent="0.15">
      <c r="A266" s="618">
        <v>342</v>
      </c>
      <c r="B266" s="917"/>
      <c r="C266" s="918" t="str">
        <f t="shared" si="3"/>
        <v>Pronto di fabbrica</v>
      </c>
      <c r="D266" s="923"/>
      <c r="E266" s="924" t="s">
        <v>279</v>
      </c>
      <c r="F266" s="925" t="s">
        <v>579</v>
      </c>
      <c r="G266" s="926" t="s">
        <v>1519</v>
      </c>
      <c r="I266" s="923"/>
    </row>
    <row r="267" spans="1:9" s="927" customFormat="1" ht="23" x14ac:dyDescent="0.15">
      <c r="A267" s="618">
        <v>343</v>
      </c>
      <c r="B267" s="917"/>
      <c r="C267" s="918" t="str">
        <f t="shared" si="3"/>
        <v>Pronto di fabbrica, ermetico</v>
      </c>
      <c r="D267" s="923"/>
      <c r="E267" s="924" t="s">
        <v>280</v>
      </c>
      <c r="F267" s="925" t="s">
        <v>580</v>
      </c>
      <c r="G267" s="926" t="s">
        <v>1520</v>
      </c>
      <c r="I267" s="923"/>
    </row>
    <row r="268" spans="1:9" s="927" customFormat="1" ht="23" x14ac:dyDescent="0.15">
      <c r="A268" s="618">
        <v>344</v>
      </c>
      <c r="B268" s="917"/>
      <c r="C268" s="918" t="str">
        <f t="shared" si="3"/>
        <v>Inserire valore</v>
      </c>
      <c r="D268" s="923"/>
      <c r="E268" s="924" t="s">
        <v>61</v>
      </c>
      <c r="F268" s="925" t="s">
        <v>581</v>
      </c>
      <c r="G268" s="926" t="s">
        <v>1521</v>
      </c>
      <c r="I268" s="923"/>
    </row>
    <row r="269" spans="1:9" s="927" customFormat="1" ht="23" x14ac:dyDescent="0.15">
      <c r="A269" s="618">
        <v>345</v>
      </c>
      <c r="B269" s="917"/>
      <c r="C269" s="918" t="str">
        <f t="shared" si="3"/>
        <v>Inverno</v>
      </c>
      <c r="D269" s="923"/>
      <c r="E269" s="924" t="s">
        <v>99</v>
      </c>
      <c r="F269" s="925" t="s">
        <v>369</v>
      </c>
      <c r="G269" s="931" t="s">
        <v>1522</v>
      </c>
      <c r="I269" s="923"/>
    </row>
    <row r="270" spans="1:9" s="927" customFormat="1" ht="23" x14ac:dyDescent="0.15">
      <c r="A270" s="618">
        <v>346</v>
      </c>
      <c r="B270" s="917"/>
      <c r="C270" s="918" t="str">
        <f t="shared" ref="C270:C289" si="4">IF(C$12=F$12,F270,IF(C$12=G$12,G270,E270))</f>
        <v>Economicità</v>
      </c>
      <c r="D270" s="923"/>
      <c r="E270" s="924" t="s">
        <v>7</v>
      </c>
      <c r="F270" s="925" t="s">
        <v>582</v>
      </c>
      <c r="G270" s="926" t="s">
        <v>1523</v>
      </c>
      <c r="I270" s="923"/>
    </row>
    <row r="271" spans="1:9" s="927" customFormat="1" ht="28" x14ac:dyDescent="0.15">
      <c r="A271" s="618">
        <v>347</v>
      </c>
      <c r="B271" s="917"/>
      <c r="C271" s="918" t="str">
        <f t="shared" si="4"/>
        <v>Volete stimare il fabbisogno di elettricità?</v>
      </c>
      <c r="D271" s="923"/>
      <c r="E271" s="924" t="s">
        <v>634</v>
      </c>
      <c r="F271" s="925" t="s">
        <v>583</v>
      </c>
      <c r="G271" s="926" t="s">
        <v>1524</v>
      </c>
      <c r="I271" s="923"/>
    </row>
    <row r="272" spans="1:9" s="927" customFormat="1" ht="23" x14ac:dyDescent="0.15">
      <c r="A272" s="618">
        <v>348</v>
      </c>
      <c r="B272" s="917"/>
      <c r="C272" s="918" t="str">
        <f t="shared" si="4"/>
        <v>Volete confrontare due varianti?</v>
      </c>
      <c r="D272" s="923"/>
      <c r="E272" s="924" t="s">
        <v>1061</v>
      </c>
      <c r="F272" s="925" t="s">
        <v>584</v>
      </c>
      <c r="G272" s="926" t="s">
        <v>1525</v>
      </c>
      <c r="I272" s="923"/>
    </row>
    <row r="273" spans="1:35" s="927" customFormat="1" ht="23" x14ac:dyDescent="0.15">
      <c r="A273" s="618">
        <v>349</v>
      </c>
      <c r="B273" s="917"/>
      <c r="C273" s="918" t="str">
        <f>IF(C$12=F$12,F273,IF(C$12=G$12,G273,E273))</f>
        <v>A: Refrigeratore-climatizzatore (2'000 h/a)</v>
      </c>
      <c r="D273" s="923"/>
      <c r="E273" s="924" t="s">
        <v>791</v>
      </c>
      <c r="F273" s="925" t="s">
        <v>1062</v>
      </c>
      <c r="G273" s="930" t="s">
        <v>1064</v>
      </c>
      <c r="I273" s="923"/>
    </row>
    <row r="274" spans="1:35" s="927" customFormat="1" ht="23" x14ac:dyDescent="0.15">
      <c r="A274" s="618">
        <v>350</v>
      </c>
      <c r="B274" s="917"/>
      <c r="C274" s="918" t="str">
        <f t="shared" si="4"/>
        <v>Assegnazione della perdita al modello</v>
      </c>
      <c r="D274" s="923"/>
      <c r="E274" s="924" t="s">
        <v>323</v>
      </c>
      <c r="F274" s="925" t="s">
        <v>700</v>
      </c>
      <c r="G274" s="926" t="s">
        <v>1526</v>
      </c>
      <c r="I274" s="923"/>
    </row>
    <row r="275" spans="1:35" s="927" customFormat="1" ht="23" x14ac:dyDescent="0.15">
      <c r="A275" s="618">
        <v>351</v>
      </c>
      <c r="B275" s="917"/>
      <c r="C275" s="918" t="str">
        <f t="shared" si="4"/>
        <v>Zurigo</v>
      </c>
      <c r="D275" s="923"/>
      <c r="E275" s="924" t="s">
        <v>109</v>
      </c>
      <c r="F275" s="925" t="s">
        <v>370</v>
      </c>
      <c r="G275" s="931" t="s">
        <v>1527</v>
      </c>
      <c r="I275" s="923"/>
    </row>
    <row r="276" spans="1:35" s="927" customFormat="1" ht="23" x14ac:dyDescent="0.15">
      <c r="A276" s="618">
        <v>352</v>
      </c>
      <c r="B276" s="917"/>
      <c r="C276" s="918" t="str">
        <f t="shared" si="4"/>
        <v>Riepilogo</v>
      </c>
      <c r="D276" s="923"/>
      <c r="E276" s="924" t="s">
        <v>236</v>
      </c>
      <c r="F276" s="925" t="s">
        <v>585</v>
      </c>
      <c r="G276" s="926" t="s">
        <v>1528</v>
      </c>
      <c r="I276" s="923"/>
    </row>
    <row r="277" spans="1:35" s="927" customFormat="1" ht="23" x14ac:dyDescent="0.15">
      <c r="A277" s="618">
        <v>353</v>
      </c>
      <c r="B277" s="917"/>
      <c r="C277" s="918" t="str">
        <f t="shared" si="4"/>
        <v>Composizione dei risultati</v>
      </c>
      <c r="D277" s="923"/>
      <c r="E277" s="924" t="s">
        <v>313</v>
      </c>
      <c r="F277" s="925" t="s">
        <v>586</v>
      </c>
      <c r="G277" s="926" t="s">
        <v>1529</v>
      </c>
      <c r="I277" s="923"/>
    </row>
    <row r="278" spans="1:35" s="927" customFormat="1" ht="23" x14ac:dyDescent="0.15">
      <c r="A278" s="618">
        <v>354</v>
      </c>
      <c r="B278" s="917"/>
      <c r="C278" s="918" t="str">
        <f t="shared" si="4"/>
        <v>Camion</v>
      </c>
      <c r="D278" s="933"/>
      <c r="E278" s="934" t="s">
        <v>45</v>
      </c>
      <c r="F278" s="925" t="s">
        <v>587</v>
      </c>
      <c r="G278" s="935" t="s">
        <v>1530</v>
      </c>
      <c r="I278" s="933"/>
    </row>
    <row r="279" spans="1:35" s="927" customFormat="1" ht="75" customHeight="1" x14ac:dyDescent="0.15">
      <c r="A279" s="618">
        <v>355</v>
      </c>
      <c r="B279" s="917"/>
      <c r="C279" s="918" t="str">
        <f t="shared" si="4"/>
        <v xml:space="preserve">Il progettista ha calcolato meno ore di esercizio a pieno regime rispetto ai valori standard previsti per questo uso. Quindi il consumo energetico stimato è inferiore. </v>
      </c>
      <c r="D279" s="933"/>
      <c r="E279" s="934" t="s">
        <v>227</v>
      </c>
      <c r="F279" s="925" t="s">
        <v>588</v>
      </c>
      <c r="G279" s="935" t="s">
        <v>1531</v>
      </c>
      <c r="I279" s="933"/>
    </row>
    <row r="280" spans="1:35" s="927" customFormat="1" ht="75" customHeight="1" x14ac:dyDescent="0.15">
      <c r="A280" s="618">
        <v>356</v>
      </c>
      <c r="B280" s="917"/>
      <c r="C280" s="918" t="str">
        <f t="shared" si="4"/>
        <v>Il progettista ha calcolato molte meno ore di esercizio a pieno regime rispetto ai valori standard previsti per questo uso. Quindi il consumo energetico stimato è inferiore.</v>
      </c>
      <c r="D280" s="933"/>
      <c r="E280" s="934" t="s">
        <v>228</v>
      </c>
      <c r="F280" s="925" t="s">
        <v>589</v>
      </c>
      <c r="G280" s="935" t="s">
        <v>1532</v>
      </c>
      <c r="I280" s="933"/>
    </row>
    <row r="281" spans="1:35" s="927" customFormat="1" ht="42" customHeight="1" x14ac:dyDescent="0.15">
      <c r="A281" s="618">
        <v>357</v>
      </c>
      <c r="B281" s="917"/>
      <c r="C281" s="918" t="str">
        <f t="shared" si="4"/>
        <v>Chiarire con il progettista perché ha scelto queste ore a pieno regime.</v>
      </c>
      <c r="D281" s="933"/>
      <c r="E281" s="934" t="s">
        <v>332</v>
      </c>
      <c r="F281" s="925" t="s">
        <v>590</v>
      </c>
      <c r="G281" s="935" t="s">
        <v>1533</v>
      </c>
      <c r="I281" s="933"/>
    </row>
    <row r="282" spans="1:35" s="927" customFormat="1" ht="23" x14ac:dyDescent="0.15">
      <c r="A282" s="618">
        <v>369</v>
      </c>
      <c r="B282" s="917"/>
      <c r="C282" s="918" t="str">
        <f t="shared" si="4"/>
        <v>Economicità</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Risultati</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al calcolo TEWI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indietro alla panoramica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al calcolo dell'economicità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ai risultati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al calcolo TEWI (3)</v>
      </c>
      <c r="D288" s="933"/>
      <c r="E288" s="939" t="s">
        <v>665</v>
      </c>
      <c r="F288" s="925" t="s">
        <v>666</v>
      </c>
      <c r="G288" s="940" t="s">
        <v>1534</v>
      </c>
      <c r="I288" s="941"/>
    </row>
    <row r="289" spans="1:9" s="927" customFormat="1" ht="23" x14ac:dyDescent="0.15">
      <c r="A289" s="618">
        <v>376</v>
      </c>
      <c r="B289" s="917"/>
      <c r="C289" s="918" t="str">
        <f t="shared" si="4"/>
        <v>indietro alle specifiche dell'impianto (1)</v>
      </c>
      <c r="D289" s="933"/>
      <c r="E289" s="934" t="s">
        <v>673</v>
      </c>
      <c r="F289" s="925" t="s">
        <v>674</v>
      </c>
      <c r="G289" s="942" t="s">
        <v>1537</v>
      </c>
      <c r="I289" s="933"/>
    </row>
    <row r="290" spans="1:9" s="927" customFormat="1" ht="23" x14ac:dyDescent="0.15">
      <c r="A290" s="928">
        <v>377</v>
      </c>
      <c r="B290" s="917"/>
      <c r="C290" s="918" t="str">
        <f t="shared" ref="C290:C405" si="5">IF(C$12=F$12,F290,IF(C$12=G$12,G290,E290))</f>
        <v>Vai al calcolo del fabbisogno di elettricità (2B)</v>
      </c>
      <c r="D290" s="933"/>
      <c r="E290" s="934" t="s">
        <v>1694</v>
      </c>
      <c r="F290" s="925" t="s">
        <v>1695</v>
      </c>
      <c r="G290" s="930" t="s">
        <v>1696</v>
      </c>
      <c r="I290" s="933"/>
    </row>
    <row r="291" spans="1:9" s="927" customFormat="1" ht="23" x14ac:dyDescent="0.15">
      <c r="A291" s="618">
        <v>378</v>
      </c>
      <c r="B291" s="917"/>
      <c r="C291" s="918" t="str">
        <f>IF(C$12=F$12,F291,IF(C$12=G$12,G291,E291))</f>
        <v>in alto</v>
      </c>
      <c r="D291" s="933"/>
      <c r="E291" s="934" t="s">
        <v>636</v>
      </c>
      <c r="F291" s="925" t="s">
        <v>644</v>
      </c>
      <c r="G291" s="926" t="s">
        <v>645</v>
      </c>
      <c r="I291" s="933"/>
    </row>
    <row r="292" spans="1:9" s="927" customFormat="1" ht="70" x14ac:dyDescent="0.15">
      <c r="A292" s="618">
        <v>379</v>
      </c>
      <c r="B292" s="917"/>
      <c r="C292" s="918" t="str">
        <f t="shared" si="5"/>
        <v>In primo luogo selezionare la lingua.
Se si cambia la lingua in seguito, è necessario controllare tutte le voci dalle caselle di selezione di nuovo.</v>
      </c>
      <c r="D292" s="933"/>
      <c r="E292" s="934" t="s">
        <v>650</v>
      </c>
      <c r="F292" s="925" t="s">
        <v>651</v>
      </c>
      <c r="G292" s="926" t="s">
        <v>652</v>
      </c>
      <c r="I292" s="933"/>
    </row>
    <row r="293" spans="1:9" s="927" customFormat="1" ht="28" x14ac:dyDescent="0.15">
      <c r="A293" s="618">
        <v>380</v>
      </c>
      <c r="B293" s="917"/>
      <c r="C293" s="918" t="str">
        <f t="shared" si="5"/>
        <v>Scopri se la valvola di espansione in queste condizioni le opere correttamente</v>
      </c>
      <c r="D293" s="933"/>
      <c r="E293" s="934" t="s">
        <v>764</v>
      </c>
      <c r="F293" s="925" t="s">
        <v>649</v>
      </c>
      <c r="G293" s="926" t="s">
        <v>648</v>
      </c>
      <c r="I293" s="933"/>
    </row>
    <row r="294" spans="1:9" s="927" customFormat="1" ht="23" x14ac:dyDescent="0.15">
      <c r="A294" s="618">
        <v>381</v>
      </c>
      <c r="B294" s="917"/>
      <c r="C294" s="918" t="str">
        <f t="shared" si="5"/>
        <v>ct./kWh</v>
      </c>
      <c r="D294" s="933"/>
      <c r="E294" s="934" t="s">
        <v>211</v>
      </c>
      <c r="F294" s="925" t="s">
        <v>708</v>
      </c>
      <c r="G294" s="926" t="s">
        <v>709</v>
      </c>
      <c r="I294" s="933"/>
    </row>
    <row r="295" spans="1:9" s="927" customFormat="1" ht="23" x14ac:dyDescent="0.15">
      <c r="A295" s="618">
        <v>382</v>
      </c>
      <c r="B295" s="917"/>
      <c r="C295" s="918" t="str">
        <f t="shared" si="5"/>
        <v xml:space="preserve">Numero </v>
      </c>
      <c r="D295" s="933"/>
      <c r="E295" s="924" t="s">
        <v>710</v>
      </c>
      <c r="F295" s="925" t="s">
        <v>711</v>
      </c>
      <c r="G295" s="926" t="s">
        <v>1538</v>
      </c>
      <c r="I295" s="933"/>
    </row>
    <row r="296" spans="1:9" s="927" customFormat="1" ht="23" x14ac:dyDescent="0.15">
      <c r="A296" s="928">
        <v>383</v>
      </c>
      <c r="B296" s="917"/>
      <c r="C296" s="918" t="str">
        <f t="shared" si="5"/>
        <v>Vai al calcolo del fabbisogno di elettricità (2A)</v>
      </c>
      <c r="D296" s="933"/>
      <c r="E296" s="924" t="s">
        <v>972</v>
      </c>
      <c r="F296" s="925" t="s">
        <v>1243</v>
      </c>
      <c r="G296" s="930" t="s">
        <v>1238</v>
      </c>
      <c r="I296" s="933"/>
    </row>
    <row r="297" spans="1:9" s="927" customFormat="1" ht="23" x14ac:dyDescent="0.15">
      <c r="A297" s="618">
        <v>384</v>
      </c>
      <c r="B297" s="917"/>
      <c r="C297" s="943" t="str">
        <f>IF(C$12=F$12,F297,IF(C$12=G$12,G297,E297))</f>
        <v>Versione 6.3 (2025): valida fino al 30 maggio 2026</v>
      </c>
      <c r="D297" s="933"/>
      <c r="E297" s="924" t="s">
        <v>1922</v>
      </c>
      <c r="F297" s="925" t="s">
        <v>1924</v>
      </c>
      <c r="G297" s="926" t="s">
        <v>1923</v>
      </c>
      <c r="I297" s="933"/>
    </row>
    <row r="298" spans="1:9" s="927" customFormat="1" ht="28" x14ac:dyDescent="0.15">
      <c r="A298" s="618">
        <v>385</v>
      </c>
      <c r="B298" s="917"/>
      <c r="C298" s="918" t="str">
        <f t="shared" si="5"/>
        <v>Nota: per i sistemi ausiliari calcolare la potenza media.</v>
      </c>
      <c r="D298" s="933"/>
      <c r="E298" s="924" t="s">
        <v>1072</v>
      </c>
      <c r="F298" s="925" t="s">
        <v>724</v>
      </c>
      <c r="G298" s="926" t="s">
        <v>722</v>
      </c>
      <c r="I298" s="933"/>
    </row>
    <row r="299" spans="1:9" s="927" customFormat="1" ht="84" x14ac:dyDescent="0.15">
      <c r="A299" s="618">
        <v>386</v>
      </c>
      <c r="B299" s="917"/>
      <c r="C299" s="918" t="str">
        <f t="shared" si="5"/>
        <v>Esempio di sistema di refrigerazione con 5000 ore di funzionamento: Per un sistema di sbrinamento a resistenza elettrica di potenza di 1 kW, con 2 funzionamenti giornalieri di 40 minuti (500 h/a, corrispondenti al 10% delle ore di lavoro), la potenza media del 10% di 1 kW = 0.1 kW.</v>
      </c>
      <c r="D299" s="933"/>
      <c r="E299" s="924" t="s">
        <v>1073</v>
      </c>
      <c r="F299" s="925" t="s">
        <v>725</v>
      </c>
      <c r="G299" s="926" t="s">
        <v>723</v>
      </c>
      <c r="I299" s="933"/>
    </row>
    <row r="300" spans="1:9" s="927" customFormat="1" ht="23" x14ac:dyDescent="0.15">
      <c r="A300" s="618">
        <v>387</v>
      </c>
      <c r="B300" s="917"/>
      <c r="C300" s="918" t="str">
        <f>IF(C$12=F$12,F300,IF(C$12=G$12,G300,E300))</f>
        <v>Mix elettrico svizzero.</v>
      </c>
      <c r="D300" s="933"/>
      <c r="E300" s="924" t="s">
        <v>758</v>
      </c>
      <c r="F300" s="925" t="s">
        <v>774</v>
      </c>
      <c r="G300" s="926" t="s">
        <v>759</v>
      </c>
      <c r="I300" s="933"/>
    </row>
    <row r="301" spans="1:9" s="927" customFormat="1" ht="23" x14ac:dyDescent="0.15">
      <c r="A301" s="618">
        <v>388</v>
      </c>
      <c r="B301" s="917"/>
      <c r="C301" s="918" t="str">
        <f t="shared" si="5"/>
        <v>Tipo di compensazione del CO2</v>
      </c>
      <c r="D301" s="933"/>
      <c r="E301" s="924" t="s">
        <v>751</v>
      </c>
      <c r="F301" s="925" t="s">
        <v>772</v>
      </c>
      <c r="G301" s="926" t="s">
        <v>760</v>
      </c>
      <c r="I301" s="933"/>
    </row>
    <row r="302" spans="1:9" s="927" customFormat="1" ht="23" x14ac:dyDescent="0.15">
      <c r="A302" s="618">
        <v>389</v>
      </c>
      <c r="B302" s="917"/>
      <c r="C302" s="918" t="str">
        <f>IF(C$12=F$12,F302,IF(C$12=G$12,G302,E302))</f>
        <v>Compensazione con certificati esteri</v>
      </c>
      <c r="D302" s="933"/>
      <c r="E302" s="924" t="s">
        <v>750</v>
      </c>
      <c r="F302" s="925" t="s">
        <v>769</v>
      </c>
      <c r="G302" s="926" t="s">
        <v>763</v>
      </c>
      <c r="I302" s="933"/>
    </row>
    <row r="303" spans="1:9" s="927" customFormat="1" ht="28" x14ac:dyDescent="0.15">
      <c r="A303" s="618">
        <v>390</v>
      </c>
      <c r="B303" s="917"/>
      <c r="C303" s="918" t="str">
        <f>IF(C$12=F$12,F303,IF(C$12=G$12,G303,E303))</f>
        <v>Aliquota della tassa CO2 attualmente in vigore in Svizzera</v>
      </c>
      <c r="D303" s="933"/>
      <c r="E303" s="924" t="s">
        <v>755</v>
      </c>
      <c r="F303" s="925" t="s">
        <v>770</v>
      </c>
      <c r="G303" s="926" t="s">
        <v>762</v>
      </c>
      <c r="I303" s="933"/>
    </row>
    <row r="304" spans="1:9" s="927" customFormat="1" ht="23" x14ac:dyDescent="0.15">
      <c r="A304" s="618">
        <v>391</v>
      </c>
      <c r="B304" s="917"/>
      <c r="C304" s="918" t="str">
        <f>IF(C$12=F$12,F304,IF(C$12=G$12,G304,E304))</f>
        <v>Costi globali per evitare le emissioni di CO2</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e recupero del calore (funzione aggiuntiva)</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Nel tool del freddo può scegliere se analizzare un impianto con funzione di free-cooling o con un recupero del calore.</v>
      </c>
      <c r="D307" s="933"/>
      <c r="E307" s="924" t="s">
        <v>1008</v>
      </c>
      <c r="F307" s="925" t="s">
        <v>1080</v>
      </c>
      <c r="G307" s="1000" t="s">
        <v>1869</v>
      </c>
      <c r="I307" s="933"/>
    </row>
    <row r="308" spans="1:9" s="927" customFormat="1" ht="23" x14ac:dyDescent="0.15">
      <c r="A308" s="928">
        <v>395</v>
      </c>
      <c r="B308" s="917"/>
      <c r="C308" s="918" t="str">
        <f>IF(C$12=F$12,F308,IF(C$12=G$12,G308,E308))</f>
        <v>Quale funzione aggiuntiva vuole calcolare?</v>
      </c>
      <c r="D308" s="933"/>
      <c r="E308" s="924" t="s">
        <v>801</v>
      </c>
      <c r="F308" s="925" t="s">
        <v>1081</v>
      </c>
      <c r="G308" s="926" t="s">
        <v>1160</v>
      </c>
      <c r="I308" s="933"/>
    </row>
    <row r="309" spans="1:9" s="927" customFormat="1" ht="23" x14ac:dyDescent="0.15">
      <c r="A309" s="928">
        <v>396</v>
      </c>
      <c r="B309" s="917"/>
      <c r="C309" s="918" t="str">
        <f>IF(C$12=F$12,F309,IF(C$12=G$12,G309,E309))</f>
        <v>Temperatura di entrata acqua fredda</v>
      </c>
      <c r="D309" s="933"/>
      <c r="E309" s="924" t="s">
        <v>784</v>
      </c>
      <c r="F309" s="925" t="s">
        <v>1264</v>
      </c>
      <c r="G309" s="926" t="s">
        <v>1161</v>
      </c>
      <c r="I309" s="933"/>
    </row>
    <row r="310" spans="1:9" s="958" customFormat="1" ht="23" x14ac:dyDescent="0.15">
      <c r="A310" s="951">
        <v>397</v>
      </c>
      <c r="B310" s="952"/>
      <c r="C310" s="953" t="str">
        <f t="shared" ref="C310" si="7">IF(C$12=F$12,F310,IF(C$12=G$12,G310,E310))</f>
        <v>Scambiatore di calore</v>
      </c>
      <c r="D310" s="954"/>
      <c r="E310" s="955" t="s">
        <v>1038</v>
      </c>
      <c r="F310" s="956" t="s">
        <v>1082</v>
      </c>
      <c r="G310" s="957" t="s">
        <v>1162</v>
      </c>
      <c r="I310" s="954"/>
    </row>
    <row r="311" spans="1:9" s="927" customFormat="1" ht="23" x14ac:dyDescent="0.15">
      <c r="A311" s="928">
        <v>398</v>
      </c>
      <c r="B311" s="917"/>
      <c r="C311" s="918" t="str">
        <f>IF(C$12=F$12,F311,IF(C$12=G$12,G311,E311))</f>
        <v>Altri strumenti ausiliari</v>
      </c>
      <c r="D311" s="933"/>
      <c r="E311" s="924" t="s">
        <v>916</v>
      </c>
      <c r="F311" s="925" t="s">
        <v>1083</v>
      </c>
      <c r="G311" s="926" t="s">
        <v>1163</v>
      </c>
      <c r="I311" s="933"/>
    </row>
    <row r="312" spans="1:9" s="927" customFormat="1" ht="23" x14ac:dyDescent="0.15">
      <c r="A312" s="928">
        <v>399</v>
      </c>
      <c r="B312" s="917"/>
      <c r="C312" s="918" t="str">
        <f>IF(C$12=F$12,F312,IF(C$12=G$12,G312,E312))</f>
        <v>Recupero del calore</v>
      </c>
      <c r="D312" s="933"/>
      <c r="E312" s="924" t="s">
        <v>918</v>
      </c>
      <c r="F312" s="925" t="s">
        <v>1084</v>
      </c>
      <c r="G312" s="926" t="s">
        <v>1164</v>
      </c>
      <c r="I312" s="933"/>
    </row>
    <row r="313" spans="1:9" s="927" customFormat="1" ht="23" x14ac:dyDescent="0.15">
      <c r="A313" s="928">
        <v>400</v>
      </c>
      <c r="B313" s="917"/>
      <c r="C313" s="918" t="str">
        <f t="shared" ref="C313" si="8">IF(C$12=F$12,F313,IF(C$12=G$12,G313,E313))</f>
        <v>Stima del fabbisogno di calore</v>
      </c>
      <c r="D313" s="933"/>
      <c r="E313" s="924" t="s">
        <v>947</v>
      </c>
      <c r="F313" s="925" t="s">
        <v>1085</v>
      </c>
      <c r="G313" s="926" t="s">
        <v>1165</v>
      </c>
      <c r="I313" s="933"/>
    </row>
    <row r="314" spans="1:9" s="927" customFormat="1" ht="23" x14ac:dyDescent="0.15">
      <c r="A314" s="928">
        <v>401</v>
      </c>
      <c r="B314" s="917"/>
      <c r="C314" s="918" t="str">
        <f>IF(C$12=F$12,F314,IF(C$12=G$12,G314,E314))</f>
        <v>Acqua potabile calda</v>
      </c>
      <c r="D314" s="933"/>
      <c r="E314" s="924" t="s">
        <v>893</v>
      </c>
      <c r="F314" s="925" t="s">
        <v>1246</v>
      </c>
      <c r="G314" s="926" t="s">
        <v>1247</v>
      </c>
      <c r="I314" s="933"/>
    </row>
    <row r="315" spans="1:9" s="927" customFormat="1" ht="23" x14ac:dyDescent="0.15">
      <c r="A315" s="928">
        <v>402</v>
      </c>
      <c r="B315" s="917"/>
      <c r="C315" s="918" t="str">
        <f>IF(C$12=F$12,F315,IF(C$12=G$12,G315,E315))</f>
        <v>Altro (per processi)</v>
      </c>
      <c r="D315" s="933"/>
      <c r="E315" s="924" t="s">
        <v>894</v>
      </c>
      <c r="F315" s="925" t="s">
        <v>1248</v>
      </c>
      <c r="G315" s="926" t="s">
        <v>1249</v>
      </c>
      <c r="I315" s="933"/>
    </row>
    <row r="316" spans="1:9" s="927" customFormat="1" ht="23" x14ac:dyDescent="0.15">
      <c r="A316" s="928">
        <v>403</v>
      </c>
      <c r="B316" s="917"/>
      <c r="C316" s="918" t="str">
        <f t="shared" ref="C316" si="9">IF(C$12=F$12,F316,IF(C$12=G$12,G316,E316))</f>
        <v>Per il riscaldamento: Superficie dello stabile</v>
      </c>
      <c r="D316" s="933"/>
      <c r="E316" s="924" t="s">
        <v>902</v>
      </c>
      <c r="F316" s="925" t="s">
        <v>1250</v>
      </c>
      <c r="G316" s="926" t="s">
        <v>1251</v>
      </c>
      <c r="I316" s="933"/>
    </row>
    <row r="317" spans="1:9" s="927" customFormat="1" ht="23" x14ac:dyDescent="0.15">
      <c r="A317" s="928">
        <v>404</v>
      </c>
      <c r="B317" s="917"/>
      <c r="C317" s="918" t="str">
        <f>IF(C$12=F$12,F317,IF(C$12=G$12,G317,E317))</f>
        <v>Fabbisogno di energia (proposta)</v>
      </c>
      <c r="D317" s="933"/>
      <c r="E317" s="924" t="s">
        <v>885</v>
      </c>
      <c r="F317" s="925" t="s">
        <v>1252</v>
      </c>
      <c r="G317" s="926" t="s">
        <v>1255</v>
      </c>
      <c r="I317" s="933"/>
    </row>
    <row r="318" spans="1:9" s="927" customFormat="1" ht="23" x14ac:dyDescent="0.15">
      <c r="A318" s="928">
        <v>405</v>
      </c>
      <c r="B318" s="917"/>
      <c r="C318" s="918" t="str">
        <f>IF(C$12=F$12,F318,IF(C$12=G$12,G318,E318))</f>
        <v>Fabbisogno di energia (facoltativa)</v>
      </c>
      <c r="D318" s="933"/>
      <c r="E318" s="924" t="s">
        <v>948</v>
      </c>
      <c r="F318" s="925" t="s">
        <v>1253</v>
      </c>
      <c r="G318" s="926" t="s">
        <v>1254</v>
      </c>
      <c r="I318" s="933"/>
    </row>
    <row r="319" spans="1:9" s="927" customFormat="1" ht="28" x14ac:dyDescent="0.15">
      <c r="A319" s="928">
        <v>406</v>
      </c>
      <c r="B319" s="917"/>
      <c r="C319" s="918" t="str">
        <f t="shared" ref="C319" si="10">IF(C$12=F$12,F319,IF(C$12=G$12,G319,E319))</f>
        <v>A che temperatura dev'essere il calore? (si può indicare solo una temperatura)</v>
      </c>
      <c r="D319" s="933"/>
      <c r="E319" s="924" t="s">
        <v>1010</v>
      </c>
      <c r="F319" s="925" t="s">
        <v>1086</v>
      </c>
      <c r="G319" s="926" t="s">
        <v>1166</v>
      </c>
      <c r="I319" s="933"/>
    </row>
    <row r="320" spans="1:9" s="927" customFormat="1" ht="23" x14ac:dyDescent="0.15">
      <c r="A320" s="928">
        <v>407</v>
      </c>
      <c r="B320" s="917"/>
      <c r="C320" s="918" t="str">
        <f>IF(C$12=F$12,F320,IF(C$12=G$12,G320,E320))</f>
        <v>Temperatura</v>
      </c>
      <c r="D320" s="933"/>
      <c r="E320" s="924" t="s">
        <v>920</v>
      </c>
      <c r="F320" s="925" t="s">
        <v>1087</v>
      </c>
      <c r="G320" s="926" t="s">
        <v>1167</v>
      </c>
      <c r="I320" s="933"/>
    </row>
    <row r="321" spans="1:9" s="927" customFormat="1" ht="28" x14ac:dyDescent="0.15">
      <c r="A321" s="928">
        <v>408</v>
      </c>
      <c r="B321" s="917"/>
      <c r="C321" s="918" t="str">
        <f>IF(C$12=F$12,F321,IF(C$12=G$12,G321,E321))</f>
        <v xml:space="preserve">Per utilizzare il calore bisogna aumentare la temperatura di condensazione. </v>
      </c>
      <c r="D321" s="933"/>
      <c r="E321" s="924" t="s">
        <v>1011</v>
      </c>
      <c r="F321" s="925" t="s">
        <v>1088</v>
      </c>
      <c r="G321" s="926" t="s">
        <v>1168</v>
      </c>
      <c r="I321" s="933"/>
    </row>
    <row r="322" spans="1:9" s="927" customFormat="1" ht="98" x14ac:dyDescent="0.15">
      <c r="A322" s="928">
        <v>409</v>
      </c>
      <c r="B322" s="917"/>
      <c r="C322" s="918" t="str">
        <f t="shared" ref="C322" si="11">IF(C$12=F$12,F322,IF(C$12=G$12,G322,E322))</f>
        <v>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v>
      </c>
      <c r="D322" s="933"/>
      <c r="E322" s="924" t="s">
        <v>806</v>
      </c>
      <c r="F322" s="925" t="s">
        <v>1089</v>
      </c>
      <c r="G322" s="926" t="s">
        <v>1169</v>
      </c>
      <c r="I322" s="933"/>
    </row>
    <row r="323" spans="1:9" s="927" customFormat="1" ht="23" x14ac:dyDescent="0.15">
      <c r="A323" s="928">
        <v>410</v>
      </c>
      <c r="B323" s="917"/>
      <c r="C323" s="918" t="str">
        <f>IF(C$12=F$12,F323,IF(C$12=G$12,G323,E323))</f>
        <v>Freddo</v>
      </c>
      <c r="D323" s="933"/>
      <c r="E323" s="924" t="s">
        <v>809</v>
      </c>
      <c r="F323" s="925" t="s">
        <v>1090</v>
      </c>
      <c r="G323" s="926" t="s">
        <v>1170</v>
      </c>
      <c r="I323" s="933"/>
    </row>
    <row r="324" spans="1:9" s="927" customFormat="1" ht="23" x14ac:dyDescent="0.15">
      <c r="A324" s="928">
        <v>411</v>
      </c>
      <c r="B324" s="917"/>
      <c r="C324" s="918" t="str">
        <f>IF(C$12=F$12,F324,IF(C$12=G$12,G324,E324))</f>
        <v>Raffreddamento con la macchina refrigerante</v>
      </c>
      <c r="D324" s="933"/>
      <c r="E324" s="924" t="s">
        <v>814</v>
      </c>
      <c r="F324" s="925" t="s">
        <v>1091</v>
      </c>
      <c r="G324" s="926" t="s">
        <v>1171</v>
      </c>
      <c r="I324" s="933"/>
    </row>
    <row r="325" spans="1:9" s="927" customFormat="1" ht="23" x14ac:dyDescent="0.15">
      <c r="A325" s="928">
        <v>412</v>
      </c>
      <c r="B325" s="917"/>
      <c r="C325" s="918" t="str">
        <f t="shared" ref="C325" si="12">IF(C$12=F$12,F325,IF(C$12=G$12,G325,E325))</f>
        <v>Raffreddamento con il free-cooling</v>
      </c>
      <c r="D325" s="933"/>
      <c r="E325" s="924" t="s">
        <v>813</v>
      </c>
      <c r="F325" s="925" t="s">
        <v>1092</v>
      </c>
      <c r="G325" s="1000" t="s">
        <v>1870</v>
      </c>
      <c r="I325" s="933"/>
    </row>
    <row r="326" spans="1:9" s="927" customFormat="1" ht="23" x14ac:dyDescent="0.15">
      <c r="A326" s="928">
        <v>413</v>
      </c>
      <c r="B326" s="917"/>
      <c r="C326" s="918" t="str">
        <f>IF(C$12=F$12,F326,IF(C$12=G$12,G326,E326))</f>
        <v>Freddo utilizzato</v>
      </c>
      <c r="D326" s="933"/>
      <c r="E326" s="924" t="s">
        <v>1673</v>
      </c>
      <c r="F326" s="925" t="s">
        <v>1093</v>
      </c>
      <c r="G326" s="926" t="s">
        <v>1172</v>
      </c>
      <c r="I326" s="933" t="s">
        <v>1674</v>
      </c>
    </row>
    <row r="327" spans="1:9" s="927" customFormat="1" ht="23" x14ac:dyDescent="0.15">
      <c r="A327" s="928">
        <v>414</v>
      </c>
      <c r="B327" s="917"/>
      <c r="C327" s="918" t="str">
        <f>IF(C$12=F$12,F327,IF(C$12=G$12,G327,E327))</f>
        <v>Consumo di energia elettrica per il freddo</v>
      </c>
      <c r="D327" s="933"/>
      <c r="E327" s="924" t="s">
        <v>808</v>
      </c>
      <c r="F327" s="925" t="s">
        <v>1094</v>
      </c>
      <c r="G327" s="926" t="s">
        <v>1173</v>
      </c>
      <c r="I327" s="933"/>
    </row>
    <row r="328" spans="1:9" s="927" customFormat="1" ht="23" x14ac:dyDescent="0.15">
      <c r="A328" s="928">
        <v>415</v>
      </c>
      <c r="B328" s="917"/>
      <c r="C328" s="918" t="str">
        <f t="shared" ref="C328:C356" si="13">IF(C$12=F$12,F328,IF(C$12=G$12,G328,E328))</f>
        <v>Indice di efficienza energetica (freddo)</v>
      </c>
      <c r="D328" s="933"/>
      <c r="E328" s="924" t="s">
        <v>928</v>
      </c>
      <c r="F328" s="925" t="s">
        <v>1095</v>
      </c>
      <c r="G328" s="926" t="s">
        <v>1174</v>
      </c>
      <c r="I328" s="933"/>
    </row>
    <row r="329" spans="1:9" s="927" customFormat="1" ht="28" x14ac:dyDescent="0.15">
      <c r="A329" s="928">
        <v>416</v>
      </c>
      <c r="B329" s="917"/>
      <c r="C329" s="918" t="str">
        <f t="shared" si="13"/>
        <v>(Totale freddo / consumo di energia elettrica per il freddo)</v>
      </c>
      <c r="D329" s="933"/>
      <c r="E329" s="924" t="s">
        <v>949</v>
      </c>
      <c r="F329" s="925" t="s">
        <v>1096</v>
      </c>
      <c r="G329" s="926" t="s">
        <v>1175</v>
      </c>
      <c r="I329" s="933"/>
    </row>
    <row r="330" spans="1:9" s="927" customFormat="1" ht="23" x14ac:dyDescent="0.15">
      <c r="A330" s="928">
        <v>417</v>
      </c>
      <c r="B330" s="917"/>
      <c r="C330" s="918" t="str">
        <f t="shared" si="13"/>
        <v>Calore</v>
      </c>
      <c r="D330" s="933"/>
      <c r="E330" s="924" t="s">
        <v>810</v>
      </c>
      <c r="F330" s="925" t="s">
        <v>1097</v>
      </c>
      <c r="G330" s="926" t="s">
        <v>1176</v>
      </c>
      <c r="I330" s="933"/>
    </row>
    <row r="331" spans="1:9" s="927" customFormat="1" ht="23" x14ac:dyDescent="0.15">
      <c r="A331" s="928">
        <v>418</v>
      </c>
      <c r="B331" s="917"/>
      <c r="C331" s="918" t="str">
        <f t="shared" si="13"/>
        <v>Calore utilizzato</v>
      </c>
      <c r="D331" s="933"/>
      <c r="E331" s="924" t="s">
        <v>929</v>
      </c>
      <c r="F331" s="925" t="s">
        <v>1098</v>
      </c>
      <c r="G331" s="926" t="s">
        <v>1177</v>
      </c>
      <c r="I331" s="933"/>
    </row>
    <row r="332" spans="1:9" s="927" customFormat="1" ht="23" x14ac:dyDescent="0.15">
      <c r="A332" s="928">
        <v>419</v>
      </c>
      <c r="B332" s="917"/>
      <c r="C332" s="918" t="str">
        <f t="shared" si="13"/>
        <v>Indice di efficienza energetica (calore)</v>
      </c>
      <c r="D332" s="933"/>
      <c r="E332" s="959" t="s">
        <v>927</v>
      </c>
      <c r="F332" s="925" t="s">
        <v>1099</v>
      </c>
      <c r="G332" s="926" t="s">
        <v>1178</v>
      </c>
      <c r="I332" s="933"/>
    </row>
    <row r="333" spans="1:9" s="927" customFormat="1" ht="28" x14ac:dyDescent="0.15">
      <c r="A333" s="928">
        <v>420</v>
      </c>
      <c r="B333" s="917"/>
      <c r="C333" s="918" t="str">
        <f t="shared" si="13"/>
        <v>(calore utilizzato / consumo di energia elettrica per il caldo)</v>
      </c>
      <c r="D333" s="933"/>
      <c r="E333" s="924" t="s">
        <v>817</v>
      </c>
      <c r="F333" s="925" t="s">
        <v>1100</v>
      </c>
      <c r="G333" s="926" t="s">
        <v>1179</v>
      </c>
      <c r="I333" s="933"/>
    </row>
    <row r="334" spans="1:9" s="927" customFormat="1" ht="23" x14ac:dyDescent="0.15">
      <c r="A334" s="928">
        <v>421</v>
      </c>
      <c r="B334" s="917"/>
      <c r="C334" s="918" t="str">
        <f t="shared" si="13"/>
        <v>Sistema complessivo (freddo + calore)</v>
      </c>
      <c r="D334" s="933"/>
      <c r="E334" s="924" t="s">
        <v>812</v>
      </c>
      <c r="F334" s="925" t="s">
        <v>1101</v>
      </c>
      <c r="G334" s="926" t="s">
        <v>1180</v>
      </c>
      <c r="I334" s="933"/>
    </row>
    <row r="335" spans="1:9" s="927" customFormat="1" ht="23" x14ac:dyDescent="0.15">
      <c r="A335" s="928">
        <v>422</v>
      </c>
      <c r="B335" s="917"/>
      <c r="C335" s="918" t="str">
        <f t="shared" si="13"/>
        <v>Calore + freddo utilizzati</v>
      </c>
      <c r="D335" s="933"/>
      <c r="E335" s="924" t="s">
        <v>930</v>
      </c>
      <c r="F335" s="925" t="s">
        <v>1102</v>
      </c>
      <c r="G335" s="926" t="s">
        <v>1181</v>
      </c>
      <c r="I335" s="933"/>
    </row>
    <row r="336" spans="1:9" s="927" customFormat="1" ht="23" x14ac:dyDescent="0.15">
      <c r="A336" s="928">
        <v>423</v>
      </c>
      <c r="B336" s="917"/>
      <c r="C336" s="918" t="str">
        <f t="shared" si="13"/>
        <v>Consumo di energia elettrica calore e freddo</v>
      </c>
      <c r="D336" s="933"/>
      <c r="E336" s="924" t="s">
        <v>811</v>
      </c>
      <c r="F336" s="925" t="s">
        <v>1103</v>
      </c>
      <c r="G336" s="926" t="s">
        <v>1182</v>
      </c>
      <c r="I336" s="933"/>
    </row>
    <row r="337" spans="1:9" s="927" customFormat="1" ht="23" x14ac:dyDescent="0.15">
      <c r="A337" s="928">
        <v>424</v>
      </c>
      <c r="B337" s="917"/>
      <c r="C337" s="918" t="str">
        <f>IF(C$12=F$12,F337,IF(C$12=G$12,G337,E337))</f>
        <v>Indice di efficienza energetica (calore + freddo)</v>
      </c>
      <c r="D337" s="933"/>
      <c r="E337" s="924" t="s">
        <v>926</v>
      </c>
      <c r="F337" s="925" t="s">
        <v>1104</v>
      </c>
      <c r="G337" s="926" t="s">
        <v>1183</v>
      </c>
      <c r="I337" s="933"/>
    </row>
    <row r="338" spans="1:9" s="927" customFormat="1" ht="28" x14ac:dyDescent="0.15">
      <c r="A338" s="928">
        <v>425</v>
      </c>
      <c r="B338" s="917"/>
      <c r="C338" s="918" t="str">
        <f t="shared" si="13"/>
        <v>((calore + freddo utilizzati) / consumo totale di energia elettrica)</v>
      </c>
      <c r="D338" s="933"/>
      <c r="E338" s="924" t="s">
        <v>950</v>
      </c>
      <c r="F338" s="925" t="s">
        <v>1105</v>
      </c>
      <c r="G338" s="926" t="s">
        <v>1184</v>
      </c>
      <c r="I338" s="933"/>
    </row>
    <row r="339" spans="1:9" s="927" customFormat="1" ht="23" x14ac:dyDescent="0.15">
      <c r="A339" s="928">
        <v>426</v>
      </c>
      <c r="B339" s="917"/>
      <c r="C339" s="918" t="str">
        <f t="shared" si="13"/>
        <v>Fabbisogno di calore (stimato)</v>
      </c>
      <c r="D339" s="933"/>
      <c r="E339" s="924" t="s">
        <v>915</v>
      </c>
      <c r="F339" s="925" t="s">
        <v>1106</v>
      </c>
      <c r="G339" s="926" t="s">
        <v>1185</v>
      </c>
      <c r="I339" s="933"/>
    </row>
    <row r="340" spans="1:9" s="927" customFormat="1" ht="23" x14ac:dyDescent="0.15">
      <c r="A340" s="928">
        <v>427</v>
      </c>
      <c r="B340" s="917"/>
      <c r="C340" s="918" t="str">
        <f t="shared" si="13"/>
        <v>Per acqua potabile calda</v>
      </c>
      <c r="D340" s="933"/>
      <c r="E340" s="924" t="s">
        <v>911</v>
      </c>
      <c r="F340" s="925" t="s">
        <v>1107</v>
      </c>
      <c r="G340" s="926" t="s">
        <v>1186</v>
      </c>
      <c r="I340" s="933"/>
    </row>
    <row r="341" spans="1:9" s="927" customFormat="1" ht="23" x14ac:dyDescent="0.15">
      <c r="A341" s="928">
        <v>428</v>
      </c>
      <c r="B341" s="917"/>
      <c r="C341" s="918" t="str">
        <f t="shared" si="13"/>
        <v>Per il riscaldamento</v>
      </c>
      <c r="D341" s="933"/>
      <c r="E341" s="924" t="s">
        <v>912</v>
      </c>
      <c r="F341" s="925" t="s">
        <v>1108</v>
      </c>
      <c r="G341" s="926" t="s">
        <v>1187</v>
      </c>
      <c r="I341" s="933"/>
    </row>
    <row r="342" spans="1:9" s="927" customFormat="1" ht="23" x14ac:dyDescent="0.15">
      <c r="A342" s="928">
        <v>429</v>
      </c>
      <c r="B342" s="917"/>
      <c r="C342" s="918" t="str">
        <f t="shared" si="13"/>
        <v>Per altri scopi (p.es. processi)</v>
      </c>
      <c r="D342" s="933"/>
      <c r="E342" s="924" t="s">
        <v>913</v>
      </c>
      <c r="F342" s="925" t="s">
        <v>1109</v>
      </c>
      <c r="G342" s="926" t="s">
        <v>1188</v>
      </c>
      <c r="I342" s="933"/>
    </row>
    <row r="343" spans="1:9" s="927" customFormat="1" ht="23" x14ac:dyDescent="0.15">
      <c r="A343" s="928">
        <v>430</v>
      </c>
      <c r="B343" s="917"/>
      <c r="C343" s="918" t="str">
        <f t="shared" si="13"/>
        <v>Fabbisogno totale</v>
      </c>
      <c r="D343" s="933"/>
      <c r="E343" s="924" t="s">
        <v>899</v>
      </c>
      <c r="F343" s="925" t="s">
        <v>1110</v>
      </c>
      <c r="G343" s="926" t="s">
        <v>1189</v>
      </c>
      <c r="I343" s="933"/>
    </row>
    <row r="344" spans="1:9" s="927" customFormat="1" ht="23" x14ac:dyDescent="0.15">
      <c r="A344" s="928">
        <v>431</v>
      </c>
      <c r="B344" s="917"/>
      <c r="C344" s="918" t="str">
        <f t="shared" si="13"/>
        <v>Fabbisogno di freddo</v>
      </c>
      <c r="D344" s="933"/>
      <c r="E344" s="924" t="s">
        <v>796</v>
      </c>
      <c r="F344" s="925" t="s">
        <v>1111</v>
      </c>
      <c r="G344" s="926" t="s">
        <v>1190</v>
      </c>
      <c r="I344" s="933"/>
    </row>
    <row r="345" spans="1:9" s="927" customFormat="1" ht="23" x14ac:dyDescent="0.15">
      <c r="A345" s="928">
        <v>432</v>
      </c>
      <c r="B345" s="917"/>
      <c r="C345" s="918" t="str">
        <f t="shared" si="13"/>
        <v>Con free-cooling</v>
      </c>
      <c r="D345" s="933"/>
      <c r="E345" s="924" t="s">
        <v>797</v>
      </c>
      <c r="F345" s="925" t="s">
        <v>1112</v>
      </c>
      <c r="G345" s="1000" t="s">
        <v>1871</v>
      </c>
      <c r="I345" s="933"/>
    </row>
    <row r="346" spans="1:9" s="927" customFormat="1" ht="23" x14ac:dyDescent="0.15">
      <c r="A346" s="928">
        <v>433</v>
      </c>
      <c r="B346" s="917"/>
      <c r="C346" s="918" t="str">
        <f t="shared" si="13"/>
        <v>Consumo di corrente del compressore</v>
      </c>
      <c r="D346" s="933"/>
      <c r="E346" s="924" t="s">
        <v>193</v>
      </c>
      <c r="F346" s="925" t="s">
        <v>1113</v>
      </c>
      <c r="G346" s="926" t="s">
        <v>1191</v>
      </c>
      <c r="I346" s="933"/>
    </row>
    <row r="347" spans="1:9" s="927" customFormat="1" ht="23" x14ac:dyDescent="0.15">
      <c r="A347" s="928">
        <v>434</v>
      </c>
      <c r="B347" s="917"/>
      <c r="C347" s="918" t="str">
        <f t="shared" si="13"/>
        <v>Riduzione grazie al free-cooling</v>
      </c>
      <c r="D347" s="933"/>
      <c r="E347" s="924" t="s">
        <v>799</v>
      </c>
      <c r="F347" s="925" t="s">
        <v>1114</v>
      </c>
      <c r="G347" s="1000" t="s">
        <v>1872</v>
      </c>
      <c r="I347" s="933"/>
    </row>
    <row r="348" spans="1:9" s="927" customFormat="1" ht="28" x14ac:dyDescent="0.15">
      <c r="A348" s="928">
        <v>435</v>
      </c>
      <c r="B348" s="917"/>
      <c r="C348" s="918" t="str">
        <f>IF(C$12=F$12,F348,IF(C$12=G$12,G348,E348))</f>
        <v>Maggior consumo recupero del calore</v>
      </c>
      <c r="D348" s="933"/>
      <c r="E348" s="924" t="s">
        <v>908</v>
      </c>
      <c r="F348" s="925" t="s">
        <v>1115</v>
      </c>
      <c r="G348" s="926" t="s">
        <v>1192</v>
      </c>
      <c r="I348" s="933"/>
    </row>
    <row r="349" spans="1:9" s="927" customFormat="1" ht="23" x14ac:dyDescent="0.15">
      <c r="A349" s="928">
        <v>436</v>
      </c>
      <c r="B349" s="917"/>
      <c r="C349" s="918" t="str">
        <f t="shared" si="13"/>
        <v>Calore disponibile</v>
      </c>
      <c r="D349" s="933"/>
      <c r="E349" s="924" t="s">
        <v>1012</v>
      </c>
      <c r="F349" s="925" t="s">
        <v>1116</v>
      </c>
      <c r="G349" s="926" t="s">
        <v>1193</v>
      </c>
      <c r="I349" s="933"/>
    </row>
    <row r="350" spans="1:9" s="927" customFormat="1" ht="28" x14ac:dyDescent="0.15">
      <c r="A350" s="928">
        <v>437</v>
      </c>
      <c r="B350" s="917"/>
      <c r="C350" s="918" t="str">
        <f t="shared" si="13"/>
        <v>Fabbisogno di calore (riscaldamento, acqua potabile calda, processi)</v>
      </c>
      <c r="D350" s="933"/>
      <c r="E350" s="924" t="s">
        <v>914</v>
      </c>
      <c r="F350" s="925" t="s">
        <v>1117</v>
      </c>
      <c r="G350" s="926" t="s">
        <v>1194</v>
      </c>
      <c r="I350" s="933"/>
    </row>
    <row r="351" spans="1:9" s="927" customFormat="1" ht="23" x14ac:dyDescent="0.15">
      <c r="A351" s="928">
        <v>438</v>
      </c>
      <c r="B351" s="917"/>
      <c r="C351" s="918" t="str">
        <f t="shared" si="13"/>
        <v>Calore utilizzato effettivo (1)</v>
      </c>
      <c r="D351" s="933"/>
      <c r="E351" s="924" t="s">
        <v>1780</v>
      </c>
      <c r="F351" s="925" t="s">
        <v>1781</v>
      </c>
      <c r="G351" s="926" t="s">
        <v>1782</v>
      </c>
      <c r="I351" s="933"/>
    </row>
    <row r="352" spans="1:9" s="927" customFormat="1" ht="23" x14ac:dyDescent="0.15">
      <c r="A352" s="928">
        <v>439</v>
      </c>
      <c r="B352" s="917"/>
      <c r="C352" s="918" t="str">
        <f t="shared" si="13"/>
        <v>Secco</v>
      </c>
      <c r="D352" s="933"/>
      <c r="E352" s="924" t="s">
        <v>781</v>
      </c>
      <c r="F352" s="925" t="s">
        <v>1118</v>
      </c>
      <c r="G352" s="926" t="s">
        <v>1195</v>
      </c>
      <c r="I352" s="933"/>
    </row>
    <row r="353" spans="1:9" s="927" customFormat="1" ht="23" x14ac:dyDescent="0.15">
      <c r="A353" s="928">
        <v>440</v>
      </c>
      <c r="B353" s="917"/>
      <c r="C353" s="918" t="str">
        <f t="shared" si="13"/>
        <v>Ibrido</v>
      </c>
      <c r="D353" s="933"/>
      <c r="E353" s="924" t="s">
        <v>782</v>
      </c>
      <c r="F353" s="925" t="s">
        <v>1119</v>
      </c>
      <c r="G353" s="926" t="s">
        <v>1196</v>
      </c>
      <c r="I353" s="933"/>
    </row>
    <row r="354" spans="1:9" s="927" customFormat="1" ht="23" x14ac:dyDescent="0.15">
      <c r="A354" s="928">
        <v>441</v>
      </c>
      <c r="B354" s="917"/>
      <c r="C354" s="918" t="str">
        <f t="shared" si="13"/>
        <v>Nessuna funzione aggiuntiva</v>
      </c>
      <c r="D354" s="933"/>
      <c r="E354" s="924" t="s">
        <v>815</v>
      </c>
      <c r="F354" s="925" t="s">
        <v>1120</v>
      </c>
      <c r="G354" s="926" t="s">
        <v>1197</v>
      </c>
      <c r="I354" s="933"/>
    </row>
    <row r="355" spans="1:9" s="927" customFormat="1" ht="23" x14ac:dyDescent="0.15">
      <c r="A355" s="928">
        <v>442</v>
      </c>
      <c r="B355" s="917"/>
      <c r="C355" s="918" t="str">
        <f t="shared" si="13"/>
        <v>Impianto con free-cooling</v>
      </c>
      <c r="D355" s="933"/>
      <c r="E355" s="924" t="s">
        <v>816</v>
      </c>
      <c r="F355" s="925" t="s">
        <v>1121</v>
      </c>
      <c r="G355" s="1000" t="s">
        <v>1873</v>
      </c>
      <c r="I355" s="933"/>
    </row>
    <row r="356" spans="1:9" s="927" customFormat="1" ht="23" x14ac:dyDescent="0.15">
      <c r="A356" s="928">
        <v>443</v>
      </c>
      <c r="B356" s="917"/>
      <c r="C356" s="918" t="str">
        <f t="shared" si="13"/>
        <v>Impianto con recupero del calore</v>
      </c>
      <c r="D356" s="933"/>
      <c r="E356" s="924" t="s">
        <v>1013</v>
      </c>
      <c r="F356" s="925" t="s">
        <v>1122</v>
      </c>
      <c r="G356" s="926" t="s">
        <v>1198</v>
      </c>
      <c r="I356" s="933"/>
    </row>
    <row r="357" spans="1:9" s="927" customFormat="1" ht="28" x14ac:dyDescent="0.15">
      <c r="A357" s="928">
        <v>444</v>
      </c>
      <c r="B357" s="917"/>
      <c r="C357" s="918" t="str">
        <f t="shared" ref="C357:C370" si="14">IF(C$12=F$12,F357,IF(C$12=G$12,G357,E357))</f>
        <v>Calcolo per semplici impianti di climatizzazione comfort</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Il calore della macchina refrigerante sostituisce il calore di...</v>
      </c>
      <c r="D359" s="933"/>
      <c r="E359" s="924" t="s">
        <v>1074</v>
      </c>
      <c r="F359" s="925" t="s">
        <v>1124</v>
      </c>
      <c r="G359" s="926" t="s">
        <v>1200</v>
      </c>
      <c r="I359" s="933"/>
    </row>
    <row r="360" spans="1:9" s="927" customFormat="1" ht="23" x14ac:dyDescent="0.15">
      <c r="A360" s="928">
        <v>447</v>
      </c>
      <c r="B360" s="917"/>
      <c r="C360" s="918" t="str">
        <f t="shared" si="14"/>
        <v>Riduzione grazie al recupero del calore</v>
      </c>
      <c r="D360" s="933"/>
      <c r="E360" s="924" t="s">
        <v>1014</v>
      </c>
      <c r="F360" s="925" t="s">
        <v>1125</v>
      </c>
      <c r="G360" s="926" t="s">
        <v>1201</v>
      </c>
      <c r="I360" s="933"/>
    </row>
    <row r="361" spans="1:9" s="927" customFormat="1" ht="42" x14ac:dyDescent="0.15">
      <c r="A361" s="928">
        <v>448</v>
      </c>
      <c r="B361" s="917"/>
      <c r="C361" s="918" t="str">
        <f t="shared" si="14"/>
        <v>Calcolo delle emissioni di CO2 causate da perdite di prodotti refrigeranti (in caso di lavori di riparazione, manutenzione e dovute a dispersione)</v>
      </c>
      <c r="D361" s="933"/>
      <c r="E361" s="924" t="s">
        <v>933</v>
      </c>
      <c r="F361" s="925" t="s">
        <v>1126</v>
      </c>
      <c r="G361" s="926" t="s">
        <v>1202</v>
      </c>
      <c r="I361" s="933"/>
    </row>
    <row r="362" spans="1:9" s="927" customFormat="1" ht="23" x14ac:dyDescent="0.15">
      <c r="A362" s="928">
        <v>449</v>
      </c>
      <c r="B362" s="917"/>
      <c r="C362" s="918" t="str">
        <f t="shared" si="14"/>
        <v>Perdite di prodotti refrigeranti all'anno</v>
      </c>
      <c r="D362" s="933"/>
      <c r="E362" s="924" t="s">
        <v>890</v>
      </c>
      <c r="F362" s="925" t="s">
        <v>1127</v>
      </c>
      <c r="G362" s="926" t="s">
        <v>1203</v>
      </c>
      <c r="I362" s="933"/>
    </row>
    <row r="363" spans="1:9" s="927" customFormat="1" ht="28" x14ac:dyDescent="0.15">
      <c r="A363" s="928">
        <v>450</v>
      </c>
      <c r="B363" s="917"/>
      <c r="C363" s="918" t="str">
        <f t="shared" si="14"/>
        <v>Emissioni di CO2 causate da perdite di prodotti refrigeranti</v>
      </c>
      <c r="D363" s="933"/>
      <c r="E363" s="924" t="s">
        <v>889</v>
      </c>
      <c r="F363" s="925" t="s">
        <v>1128</v>
      </c>
      <c r="G363" s="926" t="s">
        <v>1204</v>
      </c>
      <c r="I363" s="933"/>
    </row>
    <row r="364" spans="1:9" s="927" customFormat="1" ht="28" x14ac:dyDescent="0.15">
      <c r="A364" s="928">
        <v>451</v>
      </c>
      <c r="B364" s="917"/>
      <c r="C364" s="918" t="str">
        <f t="shared" si="14"/>
        <v>Calcolo della riduzione delle emissioni di CO2 grazie al recupero del calore</v>
      </c>
      <c r="D364" s="933"/>
      <c r="E364" s="924" t="s">
        <v>1015</v>
      </c>
      <c r="F364" s="925" t="s">
        <v>1129</v>
      </c>
      <c r="G364" s="926" t="s">
        <v>1205</v>
      </c>
      <c r="I364" s="933"/>
    </row>
    <row r="365" spans="1:9" s="927" customFormat="1" ht="23" x14ac:dyDescent="0.15">
      <c r="A365" s="928">
        <v>452</v>
      </c>
      <c r="B365" s="917"/>
      <c r="C365" s="918" t="str">
        <f t="shared" si="14"/>
        <v>Sistema di riscaldamento</v>
      </c>
      <c r="D365" s="933"/>
      <c r="E365" s="924" t="s">
        <v>824</v>
      </c>
      <c r="F365" s="925" t="s">
        <v>1130</v>
      </c>
      <c r="G365" s="926" t="s">
        <v>1206</v>
      </c>
      <c r="I365" s="933"/>
    </row>
    <row r="366" spans="1:9" s="927" customFormat="1" ht="23" x14ac:dyDescent="0.15">
      <c r="A366" s="928">
        <v>453</v>
      </c>
      <c r="B366" s="917"/>
      <c r="C366" s="918" t="str">
        <f t="shared" si="14"/>
        <v>Indice di emissioni CO2</v>
      </c>
      <c r="D366" s="933"/>
      <c r="E366" s="924" t="s">
        <v>829</v>
      </c>
      <c r="F366" s="925" t="s">
        <v>1131</v>
      </c>
      <c r="G366" s="926" t="s">
        <v>1207</v>
      </c>
      <c r="I366" s="933"/>
    </row>
    <row r="367" spans="1:9" s="927" customFormat="1" ht="28" x14ac:dyDescent="0.15">
      <c r="A367" s="928">
        <v>454</v>
      </c>
      <c r="B367" s="917"/>
      <c r="C367" s="918" t="str">
        <f t="shared" si="14"/>
        <v>Riscaldamento ad olio (olio da riscaldamento extra leggero)</v>
      </c>
      <c r="D367" s="933"/>
      <c r="E367" s="924" t="s">
        <v>851</v>
      </c>
      <c r="F367" s="925" t="s">
        <v>1132</v>
      </c>
      <c r="G367" s="926" t="s">
        <v>1208</v>
      </c>
      <c r="I367" s="933"/>
    </row>
    <row r="368" spans="1:9" s="927" customFormat="1" ht="23" x14ac:dyDescent="0.15">
      <c r="A368" s="928">
        <v>455</v>
      </c>
      <c r="B368" s="917"/>
      <c r="C368" s="918" t="str">
        <f t="shared" si="14"/>
        <v>Riscaldamento a gas naturale</v>
      </c>
      <c r="D368" s="933"/>
      <c r="E368" s="924" t="s">
        <v>826</v>
      </c>
      <c r="F368" s="925" t="s">
        <v>1133</v>
      </c>
      <c r="G368" s="926" t="s">
        <v>1209</v>
      </c>
      <c r="I368" s="933"/>
    </row>
    <row r="369" spans="1:9" s="927" customFormat="1" ht="23" x14ac:dyDescent="0.15">
      <c r="A369" s="928">
        <v>456</v>
      </c>
      <c r="B369" s="917"/>
      <c r="C369" s="918" t="str">
        <f t="shared" si="14"/>
        <v>Riscaldamento a gas naturale con 15% di biogas</v>
      </c>
      <c r="D369" s="933"/>
      <c r="E369" s="924" t="s">
        <v>827</v>
      </c>
      <c r="F369" s="925" t="s">
        <v>1134</v>
      </c>
      <c r="G369" s="926" t="s">
        <v>1210</v>
      </c>
      <c r="I369" s="933"/>
    </row>
    <row r="370" spans="1:9" s="927" customFormat="1" ht="23" x14ac:dyDescent="0.15">
      <c r="A370" s="928">
        <v>457</v>
      </c>
      <c r="B370" s="917"/>
      <c r="C370" s="918" t="str">
        <f t="shared" si="14"/>
        <v>Riscaldamento a biogas</v>
      </c>
      <c r="D370" s="933"/>
      <c r="E370" s="924" t="s">
        <v>828</v>
      </c>
      <c r="F370" s="925" t="s">
        <v>1135</v>
      </c>
      <c r="G370" s="926" t="s">
        <v>1211</v>
      </c>
      <c r="I370" s="933"/>
    </row>
    <row r="371" spans="1:9" s="927" customFormat="1" ht="23" x14ac:dyDescent="0.15">
      <c r="A371" s="928">
        <v>458</v>
      </c>
      <c r="B371" s="917"/>
      <c r="C371" s="918" t="str">
        <f t="shared" ref="C371:C397" si="15">IF(C$12=F$12,F371,IF(C$12=G$12,G371,E371))</f>
        <v>Riscaldamento a legna (pellet)</v>
      </c>
      <c r="D371" s="933"/>
      <c r="E371" s="924" t="s">
        <v>1075</v>
      </c>
      <c r="F371" s="925" t="s">
        <v>1136</v>
      </c>
      <c r="G371" s="926" t="s">
        <v>1212</v>
      </c>
      <c r="I371" s="933"/>
    </row>
    <row r="372" spans="1:9" s="927" customFormat="1" ht="23" x14ac:dyDescent="0.15">
      <c r="A372" s="928">
        <v>459</v>
      </c>
      <c r="B372" s="917"/>
      <c r="C372" s="918" t="str">
        <f t="shared" si="15"/>
        <v>Teleriscaldamento</v>
      </c>
      <c r="D372" s="933"/>
      <c r="E372" s="924" t="s">
        <v>855</v>
      </c>
      <c r="F372" s="925" t="s">
        <v>1137</v>
      </c>
      <c r="G372" s="926" t="s">
        <v>1213</v>
      </c>
      <c r="I372" s="933"/>
    </row>
    <row r="373" spans="1:9" s="927" customFormat="1" ht="23" x14ac:dyDescent="0.15">
      <c r="A373" s="928">
        <v>460</v>
      </c>
      <c r="B373" s="917"/>
      <c r="C373" s="918" t="str">
        <f t="shared" si="15"/>
        <v>Riscaldamento con impianto geotermico</v>
      </c>
      <c r="D373" s="933"/>
      <c r="E373" s="924" t="s">
        <v>857</v>
      </c>
      <c r="F373" s="925" t="s">
        <v>1138</v>
      </c>
      <c r="G373" s="926" t="s">
        <v>1214</v>
      </c>
      <c r="I373" s="933"/>
    </row>
    <row r="374" spans="1:9" s="927" customFormat="1" ht="28" x14ac:dyDescent="0.15">
      <c r="A374" s="928">
        <v>461</v>
      </c>
      <c r="B374" s="917"/>
      <c r="C374" s="918" t="str">
        <f t="shared" si="15"/>
        <v>Desidera eseguire anche una stima semplificata (B) con il valore SEER?</v>
      </c>
      <c r="D374" s="933"/>
      <c r="E374" s="924" t="s">
        <v>1904</v>
      </c>
      <c r="F374" s="925" t="s">
        <v>1905</v>
      </c>
      <c r="G374" s="926" t="s">
        <v>1906</v>
      </c>
      <c r="I374" s="933"/>
    </row>
    <row r="375" spans="1:9" s="927" customFormat="1" ht="23" x14ac:dyDescent="0.15">
      <c r="A375" s="928">
        <v>462</v>
      </c>
      <c r="B375" s="917"/>
      <c r="C375" s="918" t="str">
        <f t="shared" si="15"/>
        <v>Prezzo dell'olio da riscaldamento</v>
      </c>
      <c r="D375" s="933"/>
      <c r="E375" s="924" t="s">
        <v>852</v>
      </c>
      <c r="F375" s="925" t="s">
        <v>1139</v>
      </c>
      <c r="G375" s="926" t="s">
        <v>1215</v>
      </c>
      <c r="I375" s="933"/>
    </row>
    <row r="376" spans="1:9" s="927" customFormat="1" ht="23" x14ac:dyDescent="0.15">
      <c r="A376" s="928">
        <v>463</v>
      </c>
      <c r="B376" s="917"/>
      <c r="C376" s="918" t="str">
        <f t="shared" si="15"/>
        <v>Prezzo del gas naturale</v>
      </c>
      <c r="D376" s="933"/>
      <c r="E376" s="924" t="s">
        <v>853</v>
      </c>
      <c r="F376" s="925" t="s">
        <v>1140</v>
      </c>
      <c r="G376" s="926" t="s">
        <v>1216</v>
      </c>
      <c r="I376" s="933"/>
    </row>
    <row r="377" spans="1:9" s="927" customFormat="1" ht="23" x14ac:dyDescent="0.15">
      <c r="A377" s="928">
        <v>464</v>
      </c>
      <c r="B377" s="917"/>
      <c r="C377" s="918" t="str">
        <f t="shared" si="15"/>
        <v>Prezzo del gas naturale</v>
      </c>
      <c r="D377" s="933"/>
      <c r="E377" s="924" t="s">
        <v>853</v>
      </c>
      <c r="F377" s="925" t="s">
        <v>1140</v>
      </c>
      <c r="G377" s="926" t="s">
        <v>1216</v>
      </c>
      <c r="I377" s="933"/>
    </row>
    <row r="378" spans="1:9" s="927" customFormat="1" ht="23" x14ac:dyDescent="0.15">
      <c r="A378" s="928">
        <v>465</v>
      </c>
      <c r="B378" s="917"/>
      <c r="C378" s="918" t="str">
        <f t="shared" si="15"/>
        <v>Prezzo del biogas</v>
      </c>
      <c r="D378" s="933"/>
      <c r="E378" s="924" t="s">
        <v>854</v>
      </c>
      <c r="F378" s="925" t="s">
        <v>1141</v>
      </c>
      <c r="G378" s="926" t="s">
        <v>1217</v>
      </c>
      <c r="I378" s="933"/>
    </row>
    <row r="379" spans="1:9" s="927" customFormat="1" ht="23" x14ac:dyDescent="0.15">
      <c r="A379" s="928">
        <v>466</v>
      </c>
      <c r="B379" s="917"/>
      <c r="C379" s="918" t="str">
        <f t="shared" si="15"/>
        <v>Prezzo dei pellet</v>
      </c>
      <c r="D379" s="933"/>
      <c r="E379" s="924" t="s">
        <v>1159</v>
      </c>
      <c r="F379" s="925" t="s">
        <v>1142</v>
      </c>
      <c r="G379" s="926" t="s">
        <v>1218</v>
      </c>
      <c r="I379" s="933"/>
    </row>
    <row r="380" spans="1:9" s="927" customFormat="1" ht="23" x14ac:dyDescent="0.15">
      <c r="A380" s="928">
        <v>467</v>
      </c>
      <c r="B380" s="917"/>
      <c r="C380" s="918" t="str">
        <f t="shared" si="15"/>
        <v>Prezzo del teleriscaldamento</v>
      </c>
      <c r="D380" s="933"/>
      <c r="E380" s="924" t="s">
        <v>856</v>
      </c>
      <c r="F380" s="925" t="s">
        <v>1143</v>
      </c>
      <c r="G380" s="926" t="s">
        <v>1219</v>
      </c>
      <c r="I380" s="933"/>
    </row>
    <row r="381" spans="1:9" s="927" customFormat="1" ht="23" x14ac:dyDescent="0.15">
      <c r="A381" s="928">
        <v>468</v>
      </c>
      <c r="B381" s="917"/>
      <c r="C381" s="918" t="str">
        <f t="shared" si="15"/>
        <v>Prezzo dell'elettricità</v>
      </c>
      <c r="D381" s="933"/>
      <c r="E381" s="924" t="s">
        <v>210</v>
      </c>
      <c r="F381" s="925" t="s">
        <v>552</v>
      </c>
      <c r="G381" s="926" t="s">
        <v>1220</v>
      </c>
      <c r="I381" s="933"/>
    </row>
    <row r="382" spans="1:9" s="927" customFormat="1" ht="23" x14ac:dyDescent="0.15">
      <c r="A382" s="928">
        <v>469</v>
      </c>
      <c r="B382" s="917"/>
      <c r="C382" s="918" t="str">
        <f t="shared" si="15"/>
        <v>CHF/100 litri</v>
      </c>
      <c r="D382" s="933"/>
      <c r="E382" s="924" t="s">
        <v>832</v>
      </c>
      <c r="F382" s="925" t="s">
        <v>1144</v>
      </c>
      <c r="G382" s="926" t="s">
        <v>1221</v>
      </c>
      <c r="I382" s="933"/>
    </row>
    <row r="383" spans="1:9" s="927" customFormat="1" ht="23" x14ac:dyDescent="0.15">
      <c r="A383" s="928">
        <v>470</v>
      </c>
      <c r="B383" s="917"/>
      <c r="C383" s="918" t="str">
        <f t="shared" si="15"/>
        <v>CHF/tonnellata</v>
      </c>
      <c r="D383" s="933"/>
      <c r="E383" s="924" t="s">
        <v>833</v>
      </c>
      <c r="F383" s="925" t="s">
        <v>1145</v>
      </c>
      <c r="G383" s="926" t="s">
        <v>1222</v>
      </c>
      <c r="I383" s="933"/>
    </row>
    <row r="384" spans="1:9" s="927" customFormat="1" ht="23" x14ac:dyDescent="0.15">
      <c r="A384" s="928">
        <v>471</v>
      </c>
      <c r="B384" s="917"/>
      <c r="C384" s="918" t="str">
        <f t="shared" si="15"/>
        <v>Costi energetici impianto di refrigerazione</v>
      </c>
      <c r="D384" s="933"/>
      <c r="E384" s="924" t="s">
        <v>836</v>
      </c>
      <c r="F384" s="925" t="s">
        <v>1146</v>
      </c>
      <c r="G384" s="926" t="s">
        <v>1223</v>
      </c>
      <c r="I384" s="933"/>
    </row>
    <row r="385" spans="1:9" s="927" customFormat="1" ht="23" x14ac:dyDescent="0.15">
      <c r="A385" s="928">
        <v>472</v>
      </c>
      <c r="B385" s="917"/>
      <c r="C385" s="918" t="str">
        <f t="shared" ref="C385:C395" si="16">IF(C$12=F$12,F385,IF(C$12=G$12,G385,E385))</f>
        <v>Risparmio grazie al recupero del calore</v>
      </c>
      <c r="D385" s="933"/>
      <c r="E385" s="924" t="s">
        <v>1016</v>
      </c>
      <c r="F385" s="925" t="s">
        <v>1147</v>
      </c>
      <c r="G385" s="926" t="s">
        <v>1224</v>
      </c>
      <c r="I385" s="933"/>
    </row>
    <row r="386" spans="1:9" s="927" customFormat="1" ht="23" x14ac:dyDescent="0.15">
      <c r="A386" s="928">
        <v>473</v>
      </c>
      <c r="B386" s="917"/>
      <c r="C386" s="918" t="str">
        <f t="shared" si="16"/>
        <v>arrotondati</v>
      </c>
      <c r="D386" s="933"/>
      <c r="E386" s="924" t="s">
        <v>986</v>
      </c>
      <c r="F386" s="925" t="s">
        <v>1148</v>
      </c>
      <c r="G386" s="926" t="s">
        <v>1225</v>
      </c>
      <c r="I386" s="933"/>
    </row>
    <row r="387" spans="1:9" s="927" customFormat="1" ht="23" x14ac:dyDescent="0.15">
      <c r="A387" s="928">
        <v>474</v>
      </c>
      <c r="B387" s="917"/>
      <c r="C387" s="918" t="str">
        <f t="shared" si="16"/>
        <v>Efficienza energetica</v>
      </c>
      <c r="D387" s="933"/>
      <c r="E387" s="924" t="s">
        <v>992</v>
      </c>
      <c r="F387" s="925" t="s">
        <v>1149</v>
      </c>
      <c r="G387" s="926" t="s">
        <v>1226</v>
      </c>
      <c r="I387" s="933"/>
    </row>
    <row r="388" spans="1:9" s="927" customFormat="1" ht="28" x14ac:dyDescent="0.15">
      <c r="A388" s="928">
        <v>475</v>
      </c>
      <c r="B388" s="917"/>
      <c r="C388" s="918" t="str">
        <f t="shared" si="16"/>
        <v>Il recupero del calore sostituisce il calore di...</v>
      </c>
      <c r="D388" s="933"/>
      <c r="E388" s="924" t="s">
        <v>1052</v>
      </c>
      <c r="F388" s="925" t="s">
        <v>1150</v>
      </c>
      <c r="G388" s="926" t="s">
        <v>1227</v>
      </c>
      <c r="I388" s="933"/>
    </row>
    <row r="389" spans="1:9" s="927" customFormat="1" ht="38" customHeight="1" x14ac:dyDescent="0.15">
      <c r="A389" s="928">
        <v>476</v>
      </c>
      <c r="B389" s="917"/>
      <c r="C389" s="918" t="str">
        <f t="shared" si="16"/>
        <v>Importante: il tool non può effettuare il calcolo di impianti che dispongono sia di free-cooling che di recupero del calore.</v>
      </c>
      <c r="D389" s="933"/>
      <c r="E389" s="924" t="s">
        <v>1053</v>
      </c>
      <c r="F389" s="925" t="s">
        <v>1151</v>
      </c>
      <c r="G389" s="1000" t="s">
        <v>1874</v>
      </c>
      <c r="I389" s="933"/>
    </row>
    <row r="390" spans="1:9" s="927" customFormat="1" ht="54" customHeight="1" x14ac:dyDescent="0.15">
      <c r="A390" s="928">
        <v>477</v>
      </c>
      <c r="B390" s="917"/>
      <c r="C390" s="918" t="str">
        <f t="shared" si="16"/>
        <v xml:space="preserve">Nota bene: prendendo spunto dal libro «Klimakälte heute» (Climatizzazione oggi), nel tool del freddo utilizziamo il termine «calore» al posto del termine «calore di scarico» che ha una connotazione negativa. </v>
      </c>
      <c r="D390" s="933"/>
      <c r="E390" s="924" t="s">
        <v>1017</v>
      </c>
      <c r="F390" s="925" t="s">
        <v>1152</v>
      </c>
      <c r="G390" s="926" t="s">
        <v>1228</v>
      </c>
      <c r="I390" s="933"/>
    </row>
    <row r="391" spans="1:9" s="927" customFormat="1" ht="23" x14ac:dyDescent="0.15">
      <c r="A391" s="928">
        <v>478</v>
      </c>
      <c r="B391" s="917"/>
      <c r="C391" s="918" t="str">
        <f t="shared" si="16"/>
        <v>Nessun recupero del calore!</v>
      </c>
      <c r="D391" s="933"/>
      <c r="E391" s="924" t="s">
        <v>1054</v>
      </c>
      <c r="F391" s="925" t="s">
        <v>1153</v>
      </c>
      <c r="G391" s="926" t="s">
        <v>1229</v>
      </c>
      <c r="I391" s="933"/>
    </row>
    <row r="392" spans="1:9" s="927" customFormat="1" ht="23" x14ac:dyDescent="0.15">
      <c r="A392" s="928">
        <v>479</v>
      </c>
      <c r="B392" s="917"/>
      <c r="C392" s="918" t="str">
        <f t="shared" si="16"/>
        <v>(Aumento della temperatura di condensazione)</v>
      </c>
      <c r="D392" s="933"/>
      <c r="E392" s="924" t="s">
        <v>922</v>
      </c>
      <c r="F392" s="925" t="s">
        <v>1154</v>
      </c>
      <c r="G392" s="926" t="s">
        <v>1230</v>
      </c>
      <c r="I392" s="933"/>
    </row>
    <row r="393" spans="1:9" s="927" customFormat="1" ht="23" x14ac:dyDescent="0.15">
      <c r="A393" s="928">
        <v>480</v>
      </c>
      <c r="B393" s="917"/>
      <c r="C393" s="918" t="str">
        <f t="shared" si="16"/>
        <v>Emissioni di CO2 impianto di refrigerazione</v>
      </c>
      <c r="D393" s="933"/>
      <c r="E393" s="924" t="s">
        <v>985</v>
      </c>
      <c r="F393" s="925" t="s">
        <v>1155</v>
      </c>
      <c r="G393" s="926" t="s">
        <v>1231</v>
      </c>
      <c r="I393" s="933"/>
    </row>
    <row r="394" spans="1:9" s="927" customFormat="1" ht="23" x14ac:dyDescent="0.15">
      <c r="A394" s="928">
        <v>481</v>
      </c>
      <c r="B394" s="917"/>
      <c r="C394" s="918" t="str">
        <f t="shared" si="16"/>
        <v>Il free-cooling riduce i costi energetici di</v>
      </c>
      <c r="D394" s="933"/>
      <c r="E394" s="924" t="s">
        <v>1025</v>
      </c>
      <c r="F394" s="925" t="s">
        <v>1156</v>
      </c>
      <c r="G394" s="1000" t="s">
        <v>1875</v>
      </c>
      <c r="I394" s="933"/>
    </row>
    <row r="395" spans="1:9" s="927" customFormat="1" ht="23" x14ac:dyDescent="0.15">
      <c r="A395" s="928">
        <v>482</v>
      </c>
      <c r="B395" s="917"/>
      <c r="C395" s="918" t="str">
        <f t="shared" si="16"/>
        <v>comando in base al fabbisogno (modulabile CF/CE)</v>
      </c>
      <c r="D395" s="923"/>
      <c r="E395" s="924" t="s">
        <v>1033</v>
      </c>
      <c r="F395" s="925" t="s">
        <v>1268</v>
      </c>
      <c r="G395" s="930" t="s">
        <v>1271</v>
      </c>
      <c r="I395" s="923"/>
    </row>
    <row r="396" spans="1:9" s="927" customFormat="1" ht="23" x14ac:dyDescent="0.15">
      <c r="A396" s="928">
        <v>483</v>
      </c>
      <c r="B396" s="917"/>
      <c r="C396" s="918" t="str">
        <f t="shared" si="15"/>
        <v>Funzionamento dello scambiatore di calore</v>
      </c>
      <c r="D396" s="933"/>
      <c r="E396" s="924" t="s">
        <v>1039</v>
      </c>
      <c r="F396" s="925" t="s">
        <v>1157</v>
      </c>
      <c r="G396" s="926" t="s">
        <v>1232</v>
      </c>
      <c r="I396" s="933"/>
    </row>
    <row r="397" spans="1:9" s="927" customFormat="1" ht="23" x14ac:dyDescent="0.15">
      <c r="A397" s="618">
        <v>484</v>
      </c>
      <c r="B397" s="917"/>
      <c r="C397" s="918" t="str">
        <f t="shared" si="15"/>
        <v>litro/giorno</v>
      </c>
      <c r="D397" s="933"/>
      <c r="E397" s="924" t="s">
        <v>870</v>
      </c>
      <c r="F397" s="925" t="s">
        <v>1245</v>
      </c>
      <c r="G397" s="926" t="s">
        <v>1244</v>
      </c>
      <c r="I397" s="933"/>
    </row>
    <row r="398" spans="1:9" s="927" customFormat="1" ht="23" x14ac:dyDescent="0.15">
      <c r="A398" s="618">
        <v>485</v>
      </c>
      <c r="B398" s="917"/>
      <c r="C398" s="918" t="str">
        <f t="shared" ref="C398:C400" si="17">IF(C$12=F$12,F398,IF(C$12=G$12,G398,E398))</f>
        <v>Consumo di energia elettrica per Calore</v>
      </c>
      <c r="D398" s="933"/>
      <c r="E398" s="924" t="s">
        <v>808</v>
      </c>
      <c r="F398" s="925" t="s">
        <v>1256</v>
      </c>
      <c r="G398" s="926" t="s">
        <v>1257</v>
      </c>
      <c r="I398" s="933"/>
    </row>
    <row r="399" spans="1:9" s="927" customFormat="1" ht="98" x14ac:dyDescent="0.15">
      <c r="A399" s="618">
        <v>486</v>
      </c>
      <c r="B399" s="917"/>
      <c r="C399" s="960" t="str">
        <f t="shared" si="17"/>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D399" s="933"/>
      <c r="E399" s="924" t="s">
        <v>1261</v>
      </c>
      <c r="F399" s="925" t="s">
        <v>1262</v>
      </c>
      <c r="G399" s="926" t="s">
        <v>1263</v>
      </c>
      <c r="I399" s="933"/>
    </row>
    <row r="400" spans="1:9" s="927" customFormat="1" ht="23" x14ac:dyDescent="0.15">
      <c r="A400" s="618">
        <v>487</v>
      </c>
      <c r="B400" s="917"/>
      <c r="C400" s="918" t="str">
        <f t="shared" si="17"/>
        <v>Prezzo dell'energia del calore</v>
      </c>
      <c r="D400" s="933"/>
      <c r="E400" s="924" t="s">
        <v>1265</v>
      </c>
      <c r="F400" s="925" t="s">
        <v>1266</v>
      </c>
      <c r="G400" s="926" t="s">
        <v>1267</v>
      </c>
      <c r="I400" s="933"/>
    </row>
    <row r="401" spans="1:9" s="927" customFormat="1" ht="42" x14ac:dyDescent="0.15">
      <c r="A401" s="1062">
        <v>488</v>
      </c>
      <c r="B401" s="1061"/>
      <c r="C401" s="953" t="str">
        <f>IF(C$12=F$12,F401,IF(C$12=G$12,G401,E401))</f>
        <v>Nota: quando si stima con il valore SEER, non è possibile calcolare l'utilizzo del calore.</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Durata aggregati ausiliari «parte calda»</v>
      </c>
      <c r="D402" s="933"/>
      <c r="E402" s="924" t="s">
        <v>1293</v>
      </c>
      <c r="F402" s="925" t="s">
        <v>1294</v>
      </c>
      <c r="G402" s="926" t="s">
        <v>1539</v>
      </c>
      <c r="I402" s="933"/>
    </row>
    <row r="403" spans="1:9" s="927" customFormat="1" ht="23" x14ac:dyDescent="0.15">
      <c r="A403" s="618">
        <v>490</v>
      </c>
      <c r="B403" s="917"/>
      <c r="C403" s="918" t="str">
        <f t="shared" si="18"/>
        <v>Funzionamento normale</v>
      </c>
      <c r="D403" s="933"/>
      <c r="E403" s="924" t="s">
        <v>1276</v>
      </c>
      <c r="F403" s="925" t="s">
        <v>1297</v>
      </c>
      <c r="G403" s="926" t="s">
        <v>1296</v>
      </c>
      <c r="I403" s="933"/>
    </row>
    <row r="404" spans="1:9" s="927" customFormat="1" ht="23" x14ac:dyDescent="0.15">
      <c r="A404" s="618">
        <v>491</v>
      </c>
      <c r="B404" s="917"/>
      <c r="C404" s="918" t="str">
        <f t="shared" si="5"/>
        <v>Durata totale</v>
      </c>
      <c r="D404" s="933"/>
      <c r="E404" s="924" t="s">
        <v>1281</v>
      </c>
      <c r="F404" s="925" t="s">
        <v>1298</v>
      </c>
      <c r="G404" s="926" t="s">
        <v>1299</v>
      </c>
      <c r="I404" s="933"/>
    </row>
    <row r="405" spans="1:9" s="927" customFormat="1" ht="28" x14ac:dyDescent="0.15">
      <c r="A405" s="618">
        <v>492</v>
      </c>
      <c r="B405" s="917"/>
      <c r="C405" s="918" t="str">
        <f t="shared" si="5"/>
        <v>funzionamento ausiliario supplementare per il freecooling o l'utilizzo del calore</v>
      </c>
      <c r="D405" s="933"/>
      <c r="E405" s="924" t="s">
        <v>1300</v>
      </c>
      <c r="F405" s="925" t="s">
        <v>1301</v>
      </c>
      <c r="G405" s="926" t="s">
        <v>1302</v>
      </c>
      <c r="I405" s="933"/>
    </row>
    <row r="406" spans="1:9" s="927" customFormat="1" ht="23" x14ac:dyDescent="0.15">
      <c r="A406" s="618">
        <v>493</v>
      </c>
      <c r="B406" s="917"/>
      <c r="C406" s="918" t="str">
        <f t="shared" ref="C406:C456" si="19">IF(C$12=F$12,F406,IF(C$12=G$12,G406,E406))</f>
        <v>(vedi ORRPChim)</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Immissione sul mercato del refrigerante:</v>
      </c>
      <c r="D408" s="933"/>
      <c r="E408" s="924" t="s">
        <v>1863</v>
      </c>
      <c r="F408" s="925" t="s">
        <v>1801</v>
      </c>
      <c r="G408" s="1186" t="s">
        <v>1733</v>
      </c>
      <c r="I408" s="947" t="s">
        <v>1727</v>
      </c>
    </row>
    <row r="409" spans="1:9" s="927" customFormat="1" ht="23" x14ac:dyDescent="0.15">
      <c r="A409" s="928">
        <v>496</v>
      </c>
      <c r="B409" s="917"/>
      <c r="C409" s="918" t="str">
        <f t="shared" si="19"/>
        <v>Proibito con eccezioni</v>
      </c>
      <c r="D409" s="933"/>
      <c r="E409" s="924" t="s">
        <v>1737</v>
      </c>
      <c r="F409" s="925" t="s">
        <v>1742</v>
      </c>
      <c r="G409" s="1186" t="s">
        <v>1743</v>
      </c>
      <c r="I409" s="947" t="s">
        <v>1727</v>
      </c>
    </row>
    <row r="410" spans="1:9" s="927" customFormat="1" ht="23" x14ac:dyDescent="0.15">
      <c r="A410" s="928">
        <v>497</v>
      </c>
      <c r="B410" s="917"/>
      <c r="C410" s="918" t="str">
        <f t="shared" si="19"/>
        <v>Ammissibile con limitazioni</v>
      </c>
      <c r="D410" s="933"/>
      <c r="E410" s="924" t="s">
        <v>1739</v>
      </c>
      <c r="F410" s="925" t="s">
        <v>1741</v>
      </c>
      <c r="G410" s="1186" t="s">
        <v>1832</v>
      </c>
      <c r="I410" s="947" t="s">
        <v>1727</v>
      </c>
    </row>
    <row r="411" spans="1:9" s="927" customFormat="1" ht="23" x14ac:dyDescent="0.15">
      <c r="A411" s="928">
        <v>498</v>
      </c>
      <c r="B411" s="917"/>
      <c r="C411" s="918" t="str">
        <f t="shared" si="19"/>
        <v>ammissibile</v>
      </c>
      <c r="D411" s="933"/>
      <c r="E411" s="924" t="s">
        <v>1746</v>
      </c>
      <c r="F411" s="925" t="s">
        <v>1747</v>
      </c>
      <c r="G411" s="1186" t="s">
        <v>1748</v>
      </c>
      <c r="I411" s="947" t="s">
        <v>1727</v>
      </c>
    </row>
    <row r="412" spans="1:9" s="927" customFormat="1" ht="42" x14ac:dyDescent="0.15">
      <c r="A412" s="1063">
        <v>499</v>
      </c>
      <c r="B412" s="917"/>
      <c r="C412" s="918" t="str">
        <f t="shared" si="19"/>
        <v>Nota: quando si stima con il valore SEPR, non è possibile calcolare l'utilizzo del calore.</v>
      </c>
      <c r="D412" s="933"/>
      <c r="E412" s="924" t="s">
        <v>1688</v>
      </c>
      <c r="F412" s="925" t="s">
        <v>1802</v>
      </c>
      <c r="G412" s="1186" t="s">
        <v>1691</v>
      </c>
      <c r="I412" s="947" t="s">
        <v>1727</v>
      </c>
    </row>
    <row r="413" spans="1:9" s="927" customFormat="1" ht="23" x14ac:dyDescent="0.15">
      <c r="A413" s="928">
        <v>500</v>
      </c>
      <c r="B413" s="917"/>
      <c r="C413" s="918" t="str">
        <f t="shared" si="19"/>
        <v>A: Calcolo basato sui valori operativi</v>
      </c>
      <c r="D413" s="933"/>
      <c r="E413" s="924" t="s">
        <v>1708</v>
      </c>
      <c r="F413" s="925" t="s">
        <v>1729</v>
      </c>
      <c r="G413" s="1186" t="s">
        <v>1728</v>
      </c>
      <c r="I413" s="947" t="s">
        <v>1727</v>
      </c>
    </row>
    <row r="414" spans="1:9" s="927" customFormat="1" ht="23" x14ac:dyDescent="0.15">
      <c r="A414" s="928">
        <v>501</v>
      </c>
      <c r="B414" s="917"/>
      <c r="C414" s="918" t="str">
        <f>IF(C$12=F$12,F414,IF(C$12=G$12,G414,E414))</f>
        <v>B: Calcolo tramite valori caratteristici</v>
      </c>
      <c r="D414" s="933"/>
      <c r="E414" s="924" t="s">
        <v>1791</v>
      </c>
      <c r="F414" s="925" t="s">
        <v>1730</v>
      </c>
      <c r="G414" s="1186" t="s">
        <v>1731</v>
      </c>
      <c r="I414" s="947" t="s">
        <v>1727</v>
      </c>
    </row>
    <row r="415" spans="1:9" s="927" customFormat="1" ht="23" x14ac:dyDescent="0.15">
      <c r="A415" s="928">
        <v>502</v>
      </c>
      <c r="B415" s="917"/>
      <c r="C415" s="918" t="str">
        <f t="shared" si="19"/>
        <v>C: Immissione manuale (per il calcolo TEWI)</v>
      </c>
      <c r="D415" s="933"/>
      <c r="E415" s="924" t="s">
        <v>1705</v>
      </c>
      <c r="F415" s="925" t="s">
        <v>1732</v>
      </c>
      <c r="G415" s="1186" t="s">
        <v>1833</v>
      </c>
      <c r="I415" s="947" t="s">
        <v>1727</v>
      </c>
    </row>
    <row r="416" spans="1:9" s="927" customFormat="1" ht="28" x14ac:dyDescent="0.15">
      <c r="A416" s="928">
        <v>503</v>
      </c>
      <c r="B416" s="917"/>
      <c r="C416" s="918">
        <f t="shared" si="19"/>
        <v>0</v>
      </c>
      <c r="D416" s="933"/>
      <c r="E416" s="924" t="s">
        <v>1611</v>
      </c>
      <c r="F416" s="925"/>
      <c r="G416" s="1186"/>
      <c r="I416" s="947" t="s">
        <v>1727</v>
      </c>
    </row>
    <row r="417" spans="1:9" s="927" customFormat="1" ht="28" x14ac:dyDescent="0.15">
      <c r="A417" s="928">
        <v>504</v>
      </c>
      <c r="B417" s="917"/>
      <c r="C417" s="918" t="str">
        <f t="shared" si="19"/>
        <v>Calcolare il fabbisogno di elettricità nel foglio 2A (ritorno a 1 specifiche dell'impianto)</v>
      </c>
      <c r="D417" s="933"/>
      <c r="E417" s="924" t="s">
        <v>1724</v>
      </c>
      <c r="F417" s="925" t="s">
        <v>1803</v>
      </c>
      <c r="G417" s="1186" t="s">
        <v>1834</v>
      </c>
      <c r="I417" s="947" t="s">
        <v>1727</v>
      </c>
    </row>
    <row r="418" spans="1:9" s="927" customFormat="1" ht="28" x14ac:dyDescent="0.15">
      <c r="A418" s="928">
        <v>505</v>
      </c>
      <c r="B418" s="917"/>
      <c r="C418" s="918" t="str">
        <f t="shared" si="19"/>
        <v>Calcolare il fabbisogno di elettricità nel foglio 2B (ritorno a 1 specifiche dell'impianto)</v>
      </c>
      <c r="D418" s="933"/>
      <c r="E418" s="924" t="s">
        <v>1725</v>
      </c>
      <c r="F418" s="925" t="s">
        <v>1804</v>
      </c>
      <c r="G418" s="1186" t="s">
        <v>1835</v>
      </c>
      <c r="I418" s="947" t="s">
        <v>1727</v>
      </c>
    </row>
    <row r="419" spans="1:9" s="927" customFormat="1" ht="28" x14ac:dyDescent="0.15">
      <c r="A419" s="928">
        <v>506</v>
      </c>
      <c r="B419" s="917"/>
      <c r="C419" s="918" t="str">
        <f t="shared" si="19"/>
        <v>Inserire il fabbisogno di elettricità nel foglio 1 al punto 3.2</v>
      </c>
      <c r="D419" s="933"/>
      <c r="E419" s="924" t="s">
        <v>1704</v>
      </c>
      <c r="F419" s="925" t="s">
        <v>1805</v>
      </c>
      <c r="G419" s="1186" t="s">
        <v>1836</v>
      </c>
      <c r="I419" s="947" t="s">
        <v>1727</v>
      </c>
    </row>
    <row r="420" spans="1:9" s="927" customFormat="1" ht="28" x14ac:dyDescent="0.15">
      <c r="A420" s="928">
        <v>507</v>
      </c>
      <c r="B420" s="917"/>
      <c r="C420" s="918" t="str">
        <f t="shared" si="19"/>
        <v xml:space="preserve">Industria (raffreddatori di liquidi per freddo di processo)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Introduzione allo strumento del freddo</v>
      </c>
      <c r="D422" s="933"/>
      <c r="E422" s="924" t="s">
        <v>1644</v>
      </c>
      <c r="F422" s="925" t="s">
        <v>1710</v>
      </c>
      <c r="G422" s="1186" t="s">
        <v>1838</v>
      </c>
      <c r="I422" s="947" t="s">
        <v>1727</v>
      </c>
    </row>
    <row r="423" spans="1:9" s="927" customFormat="1" ht="101" customHeight="1" x14ac:dyDescent="0.15">
      <c r="A423" s="1092">
        <v>510</v>
      </c>
      <c r="B423" s="917"/>
      <c r="C423" s="918" t="str">
        <f t="shared" si="19"/>
        <v>Lo strumento del freddo permette di stimare il consumo di elettricità, le emissioni totali di gas serra (TEWI) e l’economicità di un sistema di refrigerazione con poche voci. I dati per due diverse varianti di sistema possono essere registrati e i risultati confrontati tra loro.</v>
      </c>
      <c r="D423" s="933"/>
      <c r="E423" s="924" t="s">
        <v>1650</v>
      </c>
      <c r="F423" s="925" t="s">
        <v>1806</v>
      </c>
      <c r="G423" s="1186" t="s">
        <v>1839</v>
      </c>
      <c r="I423" s="947" t="s">
        <v>1727</v>
      </c>
    </row>
    <row r="424" spans="1:9" s="927" customFormat="1" ht="23" x14ac:dyDescent="0.15">
      <c r="A424" s="928">
        <v>511</v>
      </c>
      <c r="B424" s="917"/>
      <c r="C424" s="918" t="str">
        <f t="shared" si="19"/>
        <v>Specifiche di investimento</v>
      </c>
      <c r="D424" s="933"/>
      <c r="E424" s="924" t="s">
        <v>324</v>
      </c>
      <c r="F424" s="925" t="s">
        <v>1807</v>
      </c>
      <c r="G424" s="1186" t="s">
        <v>1711</v>
      </c>
      <c r="I424" s="947" t="s">
        <v>1727</v>
      </c>
    </row>
    <row r="425" spans="1:9" s="927" customFormat="1" ht="28" x14ac:dyDescent="0.15">
      <c r="A425" s="928">
        <v>512</v>
      </c>
      <c r="B425" s="917"/>
      <c r="C425" s="918" t="str">
        <f t="shared" si="19"/>
        <v>Definisca il suo progetto e ciò che vuole calcolare qui.</v>
      </c>
      <c r="D425" s="933"/>
      <c r="E425" s="924" t="s">
        <v>1642</v>
      </c>
      <c r="F425" s="925" t="s">
        <v>1712</v>
      </c>
      <c r="G425" s="1186" t="s">
        <v>1840</v>
      </c>
      <c r="I425" s="947" t="s">
        <v>1727</v>
      </c>
    </row>
    <row r="426" spans="1:9" s="927" customFormat="1" ht="23" x14ac:dyDescent="0.15">
      <c r="A426" s="928">
        <v>513</v>
      </c>
      <c r="B426" s="917"/>
      <c r="C426" s="918" t="str">
        <f t="shared" si="19"/>
        <v>Fabbisogno di energia elettrica</v>
      </c>
      <c r="D426" s="933"/>
      <c r="E426" s="924" t="s">
        <v>33</v>
      </c>
      <c r="F426" s="925" t="s">
        <v>1808</v>
      </c>
      <c r="G426" s="1186" t="s">
        <v>1841</v>
      </c>
      <c r="I426" s="947" t="s">
        <v>1727</v>
      </c>
    </row>
    <row r="427" spans="1:9" s="927" customFormat="1" ht="28" x14ac:dyDescent="0.15">
      <c r="A427" s="928">
        <v>514</v>
      </c>
      <c r="B427" s="917"/>
      <c r="C427" s="918" t="str">
        <f t="shared" si="19"/>
        <v>Tre modi per inserire il fabbisogno di elettricità del sistema di refrigerazione:</v>
      </c>
      <c r="D427" s="933"/>
      <c r="E427" s="924" t="s">
        <v>1648</v>
      </c>
      <c r="F427" s="925" t="s">
        <v>1809</v>
      </c>
      <c r="G427" s="1186" t="s">
        <v>1842</v>
      </c>
      <c r="I427" s="947" t="s">
        <v>1727</v>
      </c>
    </row>
    <row r="428" spans="1:9" s="927" customFormat="1" ht="28" x14ac:dyDescent="0.15">
      <c r="A428" s="928">
        <v>515</v>
      </c>
      <c r="B428" s="917"/>
      <c r="C428" s="918" t="str">
        <f t="shared" si="19"/>
        <v>Stima basata su dati operativi (raccomandata)</v>
      </c>
      <c r="D428" s="933"/>
      <c r="E428" s="924" t="s">
        <v>1649</v>
      </c>
      <c r="F428" s="925" t="s">
        <v>1714</v>
      </c>
      <c r="G428" s="1186" t="s">
        <v>1713</v>
      </c>
      <c r="I428" s="947" t="s">
        <v>1727</v>
      </c>
    </row>
    <row r="429" spans="1:9" s="927" customFormat="1" ht="98" x14ac:dyDescent="0.15">
      <c r="A429" s="928">
        <v>516</v>
      </c>
      <c r="B429" s="917"/>
      <c r="C429" s="918" t="str">
        <f t="shared" si="19"/>
        <v>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v>
      </c>
      <c r="D429" s="933"/>
      <c r="E429" s="924" t="s">
        <v>1623</v>
      </c>
      <c r="F429" s="925" t="s">
        <v>1810</v>
      </c>
      <c r="G429" s="1186" t="s">
        <v>1843</v>
      </c>
      <c r="I429" s="947" t="s">
        <v>1727</v>
      </c>
    </row>
    <row r="430" spans="1:9" s="927" customFormat="1" ht="28" x14ac:dyDescent="0.15">
      <c r="A430" s="928">
        <v>517</v>
      </c>
      <c r="B430" s="917"/>
      <c r="C430" s="918" t="str">
        <f t="shared" si="19"/>
        <v>Calcolo tramite valori caratteristici (solo raffreddatori a liquido)</v>
      </c>
      <c r="D430" s="933"/>
      <c r="E430" s="924" t="s">
        <v>1624</v>
      </c>
      <c r="F430" s="925" t="s">
        <v>1811</v>
      </c>
      <c r="G430" s="1186" t="s">
        <v>1715</v>
      </c>
      <c r="I430" s="947" t="s">
        <v>1727</v>
      </c>
    </row>
    <row r="431" spans="1:9" s="927" customFormat="1" ht="84" x14ac:dyDescent="0.15">
      <c r="A431" s="928">
        <v>518</v>
      </c>
      <c r="B431" s="917"/>
      <c r="C431" s="918" t="str">
        <f t="shared" si="19"/>
        <v>Per i sistemi di condizionamento dell'aria o di raffreddamento di processo che funzionano con un refrigeratore di liquidi, il fabbisogno di energia può essere calcolato usando il coefficiente di efficienza (SEER o SEPR). Inoltre, il contributo del free-cooling può essere calcolato.</v>
      </c>
      <c r="D431" s="933"/>
      <c r="E431" s="924" t="s">
        <v>1625</v>
      </c>
      <c r="F431" s="925" t="s">
        <v>1812</v>
      </c>
      <c r="G431" s="1186" t="s">
        <v>1844</v>
      </c>
      <c r="I431" s="947" t="s">
        <v>1727</v>
      </c>
    </row>
    <row r="432" spans="1:9" s="927" customFormat="1" ht="23" x14ac:dyDescent="0.15">
      <c r="A432" s="928">
        <v>519</v>
      </c>
      <c r="B432" s="917"/>
      <c r="C432" s="918" t="str">
        <f t="shared" si="19"/>
        <v>Inserimento manuale (per casi eccezionali)</v>
      </c>
      <c r="D432" s="933"/>
      <c r="E432" s="924" t="s">
        <v>1626</v>
      </c>
      <c r="F432" s="925" t="s">
        <v>1717</v>
      </c>
      <c r="G432" s="1186" t="s">
        <v>1716</v>
      </c>
      <c r="I432" s="947" t="s">
        <v>1727</v>
      </c>
    </row>
    <row r="433" spans="1:9" s="927" customFormat="1" ht="126" x14ac:dyDescent="0.15">
      <c r="A433" s="928">
        <v>520</v>
      </c>
      <c r="B433" s="917"/>
      <c r="C433" s="918" t="str">
        <f t="shared" si="19"/>
        <v>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v>
      </c>
      <c r="D433" s="933"/>
      <c r="E433" s="924" t="s">
        <v>1645</v>
      </c>
      <c r="F433" s="925" t="s">
        <v>1813</v>
      </c>
      <c r="G433" s="1186" t="s">
        <v>1845</v>
      </c>
      <c r="I433" s="947" t="s">
        <v>1727</v>
      </c>
    </row>
    <row r="434" spans="1:9" s="927" customFormat="1" ht="23" x14ac:dyDescent="0.15">
      <c r="A434" s="928">
        <v>521</v>
      </c>
      <c r="B434" s="917"/>
      <c r="C434" s="918" t="str">
        <f t="shared" si="19"/>
        <v>Calcolo TEWI</v>
      </c>
      <c r="D434" s="933"/>
      <c r="E434" s="924" t="s">
        <v>1633</v>
      </c>
      <c r="F434" s="925" t="s">
        <v>1719</v>
      </c>
      <c r="G434" s="1186" t="s">
        <v>1718</v>
      </c>
      <c r="I434" s="947" t="s">
        <v>1727</v>
      </c>
    </row>
    <row r="435" spans="1:9" s="927" customFormat="1" ht="42" x14ac:dyDescent="0.15">
      <c r="A435" s="928">
        <v>522</v>
      </c>
      <c r="B435" s="917"/>
      <c r="C435" s="918" t="str">
        <f t="shared" si="19"/>
        <v>Il calcolo TEWI (Total Equivalent Warming Impact) può essere usato per calcolare e confrontare l'impatto ambientale dei sistemi di refrigerazione.</v>
      </c>
      <c r="D435" s="933"/>
      <c r="E435" s="924" t="s">
        <v>1634</v>
      </c>
      <c r="F435" s="925" t="s">
        <v>1814</v>
      </c>
      <c r="G435" s="1186" t="s">
        <v>1720</v>
      </c>
      <c r="I435" s="947" t="s">
        <v>1727</v>
      </c>
    </row>
    <row r="436" spans="1:9" s="927" customFormat="1" ht="23" x14ac:dyDescent="0.15">
      <c r="A436" s="928">
        <v>523</v>
      </c>
      <c r="B436" s="917"/>
      <c r="C436" s="918" t="str">
        <f t="shared" si="19"/>
        <v>Economicità</v>
      </c>
      <c r="D436" s="933"/>
      <c r="E436" s="924" t="s">
        <v>7</v>
      </c>
      <c r="F436" s="925" t="s">
        <v>582</v>
      </c>
      <c r="G436" s="1186" t="s">
        <v>1846</v>
      </c>
      <c r="I436" s="947" t="s">
        <v>1727</v>
      </c>
    </row>
    <row r="437" spans="1:9" s="927" customFormat="1" ht="70" x14ac:dyDescent="0.15">
      <c r="A437" s="928">
        <v>524</v>
      </c>
      <c r="B437" s="917"/>
      <c r="C437" s="918" t="str">
        <f t="shared" si="19"/>
        <v>Nel calcolo dell’economicità, i costi per il funzionamento e la manutenzione del sistema di refrigerazione sono calcolati per tutta la sua durata. Inoltre, i costi di compensazione del CO2 sono calcolati e riportati.</v>
      </c>
      <c r="D437" s="933"/>
      <c r="E437" s="924" t="s">
        <v>1635</v>
      </c>
      <c r="F437" s="925" t="s">
        <v>1815</v>
      </c>
      <c r="G437" s="1186" t="s">
        <v>1847</v>
      </c>
      <c r="I437" s="947" t="s">
        <v>1727</v>
      </c>
    </row>
    <row r="438" spans="1:9" s="927" customFormat="1" ht="23" x14ac:dyDescent="0.15">
      <c r="A438" s="928">
        <v>525</v>
      </c>
      <c r="B438" s="917"/>
      <c r="C438" s="918" t="str">
        <f t="shared" si="19"/>
        <v>Risultati</v>
      </c>
      <c r="D438" s="933"/>
      <c r="E438" s="924" t="s">
        <v>1638</v>
      </c>
      <c r="F438" s="925" t="s">
        <v>491</v>
      </c>
      <c r="G438" s="1186" t="s">
        <v>1721</v>
      </c>
      <c r="I438" s="947" t="s">
        <v>1727</v>
      </c>
    </row>
    <row r="439" spans="1:9" s="927" customFormat="1" ht="98" x14ac:dyDescent="0.15">
      <c r="A439" s="928">
        <v>526</v>
      </c>
      <c r="B439" s="917"/>
      <c r="C439" s="918" t="str">
        <f t="shared" si="19"/>
        <v>I risultati del calcolo sono riassunti qui e possono essere trasferiti direttamente nella garanzia di prestazione "Sistemi di refrigerazione". Lo strumento del freddo può anche essere d'aiuto per le domande di finanziamento o per le richieste di un permesso di esenzione (ChemRRV).</v>
      </c>
      <c r="D439" s="933"/>
      <c r="E439" s="924" t="s">
        <v>1640</v>
      </c>
      <c r="F439" s="925" t="s">
        <v>1816</v>
      </c>
      <c r="G439" s="1186" t="s">
        <v>1848</v>
      </c>
      <c r="I439" s="947" t="s">
        <v>1727</v>
      </c>
    </row>
    <row r="440" spans="1:9" s="927" customFormat="1" ht="42" x14ac:dyDescent="0.15">
      <c r="A440" s="928">
        <v>527</v>
      </c>
      <c r="B440" s="917"/>
      <c r="C440" s="918" t="str">
        <f t="shared" si="19"/>
        <v>Inizi ora e specifichi il suo sistema di refrigerazione nel primo passo. Buona fortuna.</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Secondo le specifiche, lei ha scelto un metodo di calcolo diverso.</v>
      </c>
      <c r="D442" s="933"/>
      <c r="E442" s="924" t="s">
        <v>1723</v>
      </c>
      <c r="F442" s="925" t="s">
        <v>1818</v>
      </c>
      <c r="G442" s="1186" t="s">
        <v>1850</v>
      </c>
      <c r="I442" s="947" t="s">
        <v>1727</v>
      </c>
    </row>
    <row r="443" spans="1:9" s="927" customFormat="1" ht="28" x14ac:dyDescent="0.15">
      <c r="A443" s="928">
        <v>530</v>
      </c>
      <c r="B443" s="917"/>
      <c r="C443" s="918" t="str">
        <f t="shared" si="19"/>
        <v>2B: Secondo le specifiche, lei ha scelto un metodo di calcolo diverso.</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Vuole stimare il contributo del free-cooling?</v>
      </c>
      <c r="D445" s="933"/>
      <c r="E445" s="924" t="s">
        <v>1653</v>
      </c>
      <c r="F445" s="925" t="s">
        <v>1735</v>
      </c>
      <c r="G445" s="1186" t="s">
        <v>1853</v>
      </c>
      <c r="I445" s="947" t="s">
        <v>1727</v>
      </c>
    </row>
    <row r="446" spans="1:9" s="927" customFormat="1" ht="28" x14ac:dyDescent="0.15">
      <c r="A446" s="928">
        <v>533</v>
      </c>
      <c r="B446" s="917"/>
      <c r="C446" s="918" t="str">
        <f t="shared" si="19"/>
        <v>Il fabbisogno di elettricità è stato inserito manualmente.</v>
      </c>
      <c r="D446" s="933"/>
      <c r="E446" s="924" t="s">
        <v>1750</v>
      </c>
      <c r="F446" s="925" t="s">
        <v>1820</v>
      </c>
      <c r="G446" s="1186" t="s">
        <v>1854</v>
      </c>
      <c r="I446" s="947" t="s">
        <v>1727</v>
      </c>
    </row>
    <row r="447" spans="1:9" s="927" customFormat="1" ht="23" x14ac:dyDescent="0.15">
      <c r="A447" s="928">
        <v>534</v>
      </c>
      <c r="B447" s="917"/>
      <c r="C447" s="918" t="str">
        <f t="shared" si="19"/>
        <v>Inserire il fabbisogno di elettricità al punto 3.2.</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Calcolo del fabbisogno di elettricità con il valore SEER</v>
      </c>
      <c r="D449" s="933"/>
      <c r="E449" s="924" t="s">
        <v>1706</v>
      </c>
      <c r="F449" s="925" t="s">
        <v>1822</v>
      </c>
      <c r="G449" s="1186" t="s">
        <v>1856</v>
      </c>
      <c r="I449" s="947" t="s">
        <v>1727</v>
      </c>
    </row>
    <row r="450" spans="1:9" s="927" customFormat="1" ht="28" x14ac:dyDescent="0.15">
      <c r="A450" s="928">
        <v>537</v>
      </c>
      <c r="B450" s="917"/>
      <c r="C450" s="918" t="str">
        <f t="shared" si="19"/>
        <v>2B: Calcolo del fabbisogno di elettricità con il valore SEPR</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Questo calcolo semplificato con il valore SEER è adatto solo per i sistemi di refrigerazione con refrigeratore di liquido per applicazioni di freddo di climatizzazione</v>
      </c>
      <c r="D451" s="933"/>
      <c r="E451" s="924" t="s">
        <v>1646</v>
      </c>
      <c r="F451" s="925" t="s">
        <v>1824</v>
      </c>
      <c r="G451" s="1186" t="s">
        <v>1858</v>
      </c>
      <c r="I451" s="947" t="s">
        <v>1727</v>
      </c>
    </row>
    <row r="452" spans="1:9" s="927" customFormat="1" ht="56" x14ac:dyDescent="0.15">
      <c r="A452" s="928">
        <v>539</v>
      </c>
      <c r="B452" s="917"/>
      <c r="C452" s="918" t="str">
        <f t="shared" si="20"/>
        <v>Questo calcolo semplificato con il valore SEPR è adatto solo per i sistemi di refrigerazione con refrigeratori di liquido per freddo di processo.</v>
      </c>
      <c r="D452" s="933"/>
      <c r="E452" s="924" t="s">
        <v>1647</v>
      </c>
      <c r="F452" s="925" t="s">
        <v>1825</v>
      </c>
      <c r="G452" s="1186" t="s">
        <v>1859</v>
      </c>
      <c r="I452" s="947" t="s">
        <v>1727</v>
      </c>
    </row>
    <row r="453" spans="1:9" s="927" customFormat="1" ht="28" x14ac:dyDescent="0.15">
      <c r="A453" s="928">
        <v>540</v>
      </c>
      <c r="B453" s="917"/>
      <c r="C453" s="918" t="str">
        <f t="shared" si="20"/>
        <v>Quali informazioni sono registrate sotto quale voce?</v>
      </c>
      <c r="D453" s="933"/>
      <c r="E453" s="924" t="s">
        <v>1763</v>
      </c>
      <c r="F453" s="925" t="s">
        <v>1764</v>
      </c>
      <c r="G453" s="1186" t="s">
        <v>1765</v>
      </c>
      <c r="I453" s="947" t="s">
        <v>1727</v>
      </c>
    </row>
    <row r="454" spans="1:9" s="927" customFormat="1" ht="23" x14ac:dyDescent="0.15">
      <c r="A454" s="928">
        <v>541</v>
      </c>
      <c r="B454" s="917"/>
      <c r="C454" s="918" t="str">
        <f t="shared" si="19"/>
        <v>Refrigeratori di liquidi raffreddati ad acqua</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Refrigeratori di liquidi raffreddati ad aria</v>
      </c>
      <c r="D455" s="933"/>
      <c r="E455" s="924" t="s">
        <v>1608</v>
      </c>
      <c r="F455" s="925" t="s">
        <v>1827</v>
      </c>
      <c r="G455" s="1186" t="s">
        <v>1767</v>
      </c>
      <c r="I455" s="947" t="s">
        <v>1727</v>
      </c>
    </row>
    <row r="456" spans="1:9" s="927" customFormat="1" ht="28" x14ac:dyDescent="0.15">
      <c r="A456" s="928">
        <v>543</v>
      </c>
      <c r="B456" s="917"/>
      <c r="C456" s="918" t="str">
        <f t="shared" si="19"/>
        <v>Vuole eseguire la stima semplificata (B) usando il valore SEPR?</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v>
      </c>
      <c r="D457" s="933"/>
      <c r="E457" s="924" t="s">
        <v>1775</v>
      </c>
      <c r="F457" s="925" t="s">
        <v>1828</v>
      </c>
      <c r="G457" s="1186" t="s">
        <v>1860</v>
      </c>
      <c r="I457" s="947" t="s">
        <v>1727</v>
      </c>
    </row>
    <row r="458" spans="1:9" s="927" customFormat="1" ht="28" x14ac:dyDescent="0.15">
      <c r="A458" s="928">
        <v>543</v>
      </c>
      <c r="B458" s="917"/>
      <c r="C458" s="918" t="str">
        <f t="shared" si="22"/>
        <v>SEER: Raffreddatore di liquidi per freddo di climatizzazione</v>
      </c>
      <c r="D458" s="933"/>
      <c r="E458" s="924" t="s">
        <v>1779</v>
      </c>
      <c r="F458" s="925" t="s">
        <v>1829</v>
      </c>
      <c r="G458" s="1186" t="s">
        <v>1861</v>
      </c>
      <c r="I458" s="947" t="s">
        <v>1727</v>
      </c>
    </row>
    <row r="459" spans="1:9" s="927" customFormat="1" ht="28" x14ac:dyDescent="0.15">
      <c r="A459" s="928"/>
      <c r="B459" s="917"/>
      <c r="C459" s="918" t="str">
        <f t="shared" si="22"/>
        <v>SEPR: refrigeratore di liquidi per il freddo di processo</v>
      </c>
      <c r="D459" s="933"/>
      <c r="E459" s="924" t="s">
        <v>1800</v>
      </c>
      <c r="F459" s="925" t="s">
        <v>1830</v>
      </c>
      <c r="G459" s="1186" t="s">
        <v>1862</v>
      </c>
      <c r="I459" s="947" t="s">
        <v>1727</v>
      </c>
    </row>
    <row r="460" spans="1:9" s="927" customFormat="1" ht="23" x14ac:dyDescent="0.15">
      <c r="A460" s="928"/>
      <c r="B460" s="917"/>
      <c r="C460" s="918" t="str">
        <f>IF(C$12=F$12,F460,IF(C$12=G$12,G460,E460))</f>
        <v>consumo aggiuntivo di elettricità</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Editore: SvizzeraEnergia, 3003 Berna</v>
      </c>
      <c r="D462" s="933"/>
      <c r="E462" s="924" t="s">
        <v>1880</v>
      </c>
      <c r="F462" s="925" t="s">
        <v>1881</v>
      </c>
      <c r="G462" s="1186" t="s">
        <v>1882</v>
      </c>
      <c r="I462" s="933"/>
    </row>
    <row r="463" spans="1:9" s="927" customFormat="1" ht="28" x14ac:dyDescent="0.15">
      <c r="A463" s="928"/>
      <c r="B463" s="917"/>
      <c r="C463" s="918" t="str">
        <f t="shared" si="23"/>
        <v>Concezione e programmazione: zweiweg gmbh, Zurigo</v>
      </c>
      <c r="D463" s="933"/>
      <c r="E463" s="924" t="s">
        <v>1910</v>
      </c>
      <c r="F463" s="925" t="s">
        <v>1911</v>
      </c>
      <c r="G463" s="1186" t="s">
        <v>1912</v>
      </c>
      <c r="I463" s="933"/>
    </row>
    <row r="464" spans="1:9" s="927" customFormat="1" ht="42" x14ac:dyDescent="0.15">
      <c r="A464" s="928"/>
      <c r="B464" s="917"/>
      <c r="C464" s="918" t="str">
        <f t="shared" si="23"/>
        <v>Nel passo 3.2 si definisce il metodo di calcolo della domanda di elettricità del sistema di refrigerazione.</v>
      </c>
      <c r="D464" s="933"/>
      <c r="E464" s="924" t="s">
        <v>1894</v>
      </c>
      <c r="F464" s="925" t="s">
        <v>1896</v>
      </c>
      <c r="G464" s="1186" t="s">
        <v>1895</v>
      </c>
      <c r="I464" s="933"/>
    </row>
    <row r="465" spans="1:9" s="927" customFormat="1" ht="23" x14ac:dyDescent="0.15">
      <c r="A465" s="928"/>
      <c r="B465" s="917"/>
      <c r="C465" s="918" t="str">
        <f t="shared" si="23"/>
        <v>Importante:</v>
      </c>
      <c r="D465" s="933"/>
      <c r="E465" s="924" t="s">
        <v>1885</v>
      </c>
      <c r="F465" s="925" t="s">
        <v>1888</v>
      </c>
      <c r="G465" s="1186" t="s">
        <v>1891</v>
      </c>
      <c r="I465" s="933"/>
    </row>
    <row r="466" spans="1:9" s="927" customFormat="1" ht="42" x14ac:dyDescent="0.15">
      <c r="A466" s="928"/>
      <c r="B466" s="917"/>
      <c r="C466" s="918" t="str">
        <f t="shared" si="23"/>
        <v>L'utilizzo del calore residuo può essere calcolato solo con la stima basata sui dati di funzionamento (A).</v>
      </c>
      <c r="D466" s="933"/>
      <c r="E466" s="924" t="s">
        <v>1886</v>
      </c>
      <c r="F466" s="925" t="s">
        <v>1889</v>
      </c>
      <c r="G466" s="1186" t="s">
        <v>1892</v>
      </c>
      <c r="I466" s="933"/>
    </row>
    <row r="467" spans="1:9" s="927" customFormat="1" ht="42" x14ac:dyDescent="0.15">
      <c r="A467" s="928"/>
      <c r="B467" s="917"/>
      <c r="C467" s="918" t="str">
        <f t="shared" si="23"/>
        <v>L'utilizzo del calore residuo non può essere calcolato con la stima semplificata basata sui valori caratteristici SEER o SEPR (B).</v>
      </c>
      <c r="D467" s="933"/>
      <c r="E467" s="924" t="s">
        <v>1887</v>
      </c>
      <c r="F467" s="925" t="s">
        <v>1890</v>
      </c>
      <c r="G467" s="1186" t="s">
        <v>1893</v>
      </c>
      <c r="I467" s="933"/>
    </row>
    <row r="468" spans="1:9" s="927" customFormat="1" ht="28" x14ac:dyDescent="0.15">
      <c r="A468" s="928"/>
      <c r="B468" s="917"/>
      <c r="C468" s="918" t="str">
        <f t="shared" si="23"/>
        <v>Le dichiarazioni sulle emissioni di CO2 sono adatte alla valutazione dei nuovi impianti.</v>
      </c>
      <c r="D468" s="933"/>
      <c r="E468" s="924" t="s">
        <v>1897</v>
      </c>
      <c r="F468" s="925" t="s">
        <v>1899</v>
      </c>
      <c r="G468" s="1186" t="s">
        <v>1901</v>
      </c>
      <c r="I468" s="933"/>
    </row>
    <row r="469" spans="1:9" s="927" customFormat="1" ht="81" customHeight="1" x14ac:dyDescent="0.15">
      <c r="A469" s="928"/>
      <c r="B469" s="917"/>
      <c r="C469" s="953" t="str">
        <f t="shared" si="23"/>
        <v xml:space="preserve">Tuttavia, i valori delle emissioni di CO2 dovute alle perdite di refrigerante non sono adatti per determinare il risparmio di CO2 nei progetti di compensazione (calcolo del risparmio ottenuto sostituendo un sistema di refrigerazione esistente). </v>
      </c>
      <c r="D469" s="933"/>
      <c r="E469" s="924" t="s">
        <v>1898</v>
      </c>
      <c r="F469" s="925" t="s">
        <v>1900</v>
      </c>
      <c r="G469" s="1186" t="s">
        <v>1902</v>
      </c>
      <c r="I469" s="933"/>
    </row>
    <row r="470" spans="1:9" s="927" customFormat="1" ht="28" x14ac:dyDescent="0.15">
      <c r="A470" s="928"/>
      <c r="B470" s="917"/>
      <c r="C470" s="953" t="str">
        <f t="shared" si="23"/>
        <v>Errore! Inserire il tipo di riscaldatore nel foglio 3 TEWI.</v>
      </c>
      <c r="D470" s="933"/>
      <c r="E470" s="924" t="s">
        <v>1913</v>
      </c>
      <c r="F470" s="925" t="s">
        <v>1914</v>
      </c>
      <c r="G470" s="1186" t="s">
        <v>1915</v>
      </c>
      <c r="I470" s="933"/>
    </row>
    <row r="471" spans="1:9" s="927" customFormat="1" ht="28" x14ac:dyDescent="0.15">
      <c r="A471" s="928"/>
      <c r="B471" s="917"/>
      <c r="C471" s="953" t="str">
        <f t="shared" si="23"/>
        <v>La temperatura dell'acqua fredda (2.1) è troppo bassa per un free 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45824</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s4uAtooqaD+ikMrPVhgR0e5gHtUPLpphWeFrkQk7zOAVtrpDdEeLhowHb+krQzIDgagKevJQnos3DhxnXVgxLQ==" saltValue="GQefRGUlydJV18pqa9sGkA=="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18" t="s">
        <v>11</v>
      </c>
      <c r="N2" s="1218"/>
      <c r="O2" s="1218"/>
      <c r="P2" s="1218"/>
      <c r="Q2" s="1218"/>
      <c r="R2" s="1218"/>
      <c r="S2" s="121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17" t="str">
        <f>X!C292</f>
        <v>In primo luogo selezionare la lingua.
Se si cambia la lingua in seguito, è necessario controllare tutte le voci dalle caselle di selezione di nuovo.</v>
      </c>
      <c r="N4" s="1217"/>
      <c r="O4" s="1217"/>
      <c r="P4" s="1217"/>
      <c r="Q4" s="1217"/>
      <c r="R4" s="1217"/>
      <c r="S4" s="1217"/>
      <c r="T4" s="1217"/>
      <c r="U4" s="1217"/>
      <c r="V4" s="1217"/>
      <c r="W4" s="1217"/>
      <c r="X4" s="1217"/>
      <c r="Y4" s="1217"/>
      <c r="Z4" s="1217"/>
      <c r="AA4" s="1217"/>
      <c r="AB4" s="1217"/>
      <c r="AC4" s="1217"/>
      <c r="AD4" s="1217"/>
      <c r="AE4" s="121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17"/>
      <c r="N5" s="1217"/>
      <c r="O5" s="1217"/>
      <c r="P5" s="1217"/>
      <c r="Q5" s="1217"/>
      <c r="R5" s="1217"/>
      <c r="S5" s="1217"/>
      <c r="T5" s="1217"/>
      <c r="U5" s="1217"/>
      <c r="V5" s="1217"/>
      <c r="W5" s="1217"/>
      <c r="X5" s="1217"/>
      <c r="Y5" s="1217"/>
      <c r="Z5" s="1217"/>
      <c r="AA5" s="1217"/>
      <c r="AB5" s="1217"/>
      <c r="AC5" s="1217"/>
      <c r="AD5" s="1217"/>
      <c r="AE5" s="121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17"/>
      <c r="N6" s="1217"/>
      <c r="O6" s="1217"/>
      <c r="P6" s="1217"/>
      <c r="Q6" s="1217"/>
      <c r="R6" s="1217"/>
      <c r="S6" s="1217"/>
      <c r="T6" s="1217"/>
      <c r="U6" s="1217"/>
      <c r="V6" s="1217"/>
      <c r="W6" s="1217"/>
      <c r="X6" s="1217"/>
      <c r="Y6" s="1217"/>
      <c r="Z6" s="1217"/>
      <c r="AA6" s="1217"/>
      <c r="AB6" s="1217"/>
      <c r="AC6" s="1217"/>
      <c r="AD6" s="1217"/>
      <c r="AE6" s="121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17"/>
      <c r="N7" s="1217"/>
      <c r="O7" s="1217"/>
      <c r="P7" s="1217"/>
      <c r="Q7" s="1217"/>
      <c r="R7" s="1217"/>
      <c r="S7" s="1217"/>
      <c r="T7" s="1217"/>
      <c r="U7" s="1217"/>
      <c r="V7" s="1217"/>
      <c r="W7" s="1217"/>
      <c r="X7" s="1217"/>
      <c r="Y7" s="1217"/>
      <c r="Z7" s="1217"/>
      <c r="AA7" s="1217"/>
      <c r="AB7" s="1217"/>
      <c r="AC7" s="1217"/>
      <c r="AD7" s="1217"/>
      <c r="AE7" s="121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1</v>
      </c>
      <c r="BK9" s="1185">
        <f>IF(M2=L177,0,1)</f>
        <v>1</v>
      </c>
      <c r="BL9" s="1185">
        <f>IF(M2=L178,0,1)</f>
        <v>0</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Introduzione allo strumento del freddo</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22" t="str">
        <f>X!C423</f>
        <v>Lo strumento del freddo permette di stimare il consumo di elettricità, le emissioni totali di gas serra (TEWI) e l’economicità di un sistema di refrigerazione con poche voci. I dati per due diverse varianti di sistema possono essere registrati e i risultati confrontati tra loro.</v>
      </c>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222"/>
      <c r="AM16" s="1222"/>
      <c r="AN16" s="1222"/>
      <c r="AO16" s="1222"/>
      <c r="AP16" s="1222"/>
      <c r="AQ16" s="1222"/>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222"/>
      <c r="AM17" s="1222"/>
      <c r="AN17" s="1222"/>
      <c r="AO17" s="1222"/>
      <c r="AP17" s="1222"/>
      <c r="AQ17" s="1222"/>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222"/>
      <c r="AM18" s="1222"/>
      <c r="AN18" s="1222"/>
      <c r="AO18" s="1222"/>
      <c r="AP18" s="1222"/>
      <c r="AQ18" s="1222"/>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22"/>
      <c r="AP19" s="1222"/>
      <c r="AQ19" s="1222"/>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Specifiche di investimento</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30" t="str">
        <f>X!C425</f>
        <v>Definisca il suo progetto e ciò che vuole calcolare qui.</v>
      </c>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Fabbisogno di energia elettrica</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30" t="str">
        <f>X!C427</f>
        <v>Tre modi per inserire il fabbisogno di elettricità del sistema di refrigerazione:</v>
      </c>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230"/>
      <c r="AM27" s="1230"/>
      <c r="AN27" s="1230"/>
      <c r="AO27" s="1230"/>
      <c r="AP27" s="1230"/>
      <c r="AQ27" s="1230"/>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Stima basata su dati operativi (raccomandata)</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23" t="str">
        <f>X!C429</f>
        <v>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v>
      </c>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Calcolo tramite valori caratteristici (solo raffreddatori a liquido)</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23" t="str">
        <f>X!C431</f>
        <v>Per i sistemi di condizionamento dell'aria o di raffreddamento di processo che funzionano con un refrigeratore di liquidi, il fabbisogno di energia può essere calcolato usando il coefficiente di efficienza (SEER o SEPR). Inoltre, il contributo del free-cooling può essere calcolato.</v>
      </c>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463"/>
      <c r="AS35" s="32"/>
      <c r="AT35" s="1151"/>
      <c r="AU35" s="1231" t="str">
        <f>X!C458</f>
        <v>SEER: Raffreddatore di liquidi per freddo di climatizzazione</v>
      </c>
      <c r="AV35" s="1231"/>
      <c r="AW35" s="1231"/>
      <c r="AX35" s="1231"/>
      <c r="AY35" s="1231"/>
      <c r="AZ35" s="1231"/>
      <c r="BA35" s="1231"/>
      <c r="BB35" s="1231"/>
      <c r="BC35" s="1231"/>
      <c r="BD35" s="1231"/>
      <c r="BE35" s="1231"/>
      <c r="BF35" s="1231"/>
      <c r="BG35" s="1231"/>
      <c r="BH35" s="1231"/>
      <c r="BI35" s="1182"/>
      <c r="BJ35" s="1233" t="s">
        <v>266</v>
      </c>
      <c r="BK35" s="1233" t="s">
        <v>266</v>
      </c>
      <c r="BL35" s="1233"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463"/>
      <c r="AS36" s="32"/>
      <c r="AT36" s="120"/>
      <c r="AU36" s="1231"/>
      <c r="AV36" s="1231"/>
      <c r="AW36" s="1231"/>
      <c r="AX36" s="1231"/>
      <c r="AY36" s="1231"/>
      <c r="AZ36" s="1231"/>
      <c r="BA36" s="1231"/>
      <c r="BB36" s="1231"/>
      <c r="BC36" s="1231"/>
      <c r="BD36" s="1231"/>
      <c r="BE36" s="1231"/>
      <c r="BF36" s="1231"/>
      <c r="BG36" s="1231"/>
      <c r="BH36" s="1231"/>
      <c r="BI36" s="1182"/>
      <c r="BJ36" s="1233"/>
      <c r="BK36" s="1233"/>
      <c r="BL36" s="1233"/>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463"/>
      <c r="AS37" s="32"/>
      <c r="AT37" s="1151"/>
      <c r="AU37" s="1232" t="str">
        <f>X!C459</f>
        <v>SEPR: refrigeratore di liquidi per il freddo di processo</v>
      </c>
      <c r="AV37" s="1232"/>
      <c r="AW37" s="1232"/>
      <c r="AX37" s="1232"/>
      <c r="AY37" s="1232"/>
      <c r="AZ37" s="1232"/>
      <c r="BA37" s="1232"/>
      <c r="BB37" s="1232"/>
      <c r="BC37" s="1232"/>
      <c r="BD37" s="1232"/>
      <c r="BE37" s="1232"/>
      <c r="BF37" s="1232"/>
      <c r="BG37" s="1232"/>
      <c r="BH37" s="1232"/>
      <c r="BI37" s="1183"/>
      <c r="BJ37" s="1234" t="s">
        <v>266</v>
      </c>
      <c r="BK37" s="1234" t="s">
        <v>266</v>
      </c>
      <c r="BL37" s="1234"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463"/>
      <c r="AS38" s="32"/>
      <c r="AT38" s="120"/>
      <c r="AU38" s="1232"/>
      <c r="AV38" s="1232"/>
      <c r="AW38" s="1232"/>
      <c r="AX38" s="1232"/>
      <c r="AY38" s="1232"/>
      <c r="AZ38" s="1232"/>
      <c r="BA38" s="1232"/>
      <c r="BB38" s="1232"/>
      <c r="BC38" s="1232"/>
      <c r="BD38" s="1232"/>
      <c r="BE38" s="1232"/>
      <c r="BF38" s="1232"/>
      <c r="BG38" s="1232"/>
      <c r="BH38" s="1232"/>
      <c r="BI38" s="1183"/>
      <c r="BJ38" s="1234"/>
      <c r="BK38" s="1234"/>
      <c r="BL38" s="1234"/>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Inserimento manuale (per casi eccezionali)</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23" t="str">
        <f>X!C433</f>
        <v>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v>
      </c>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Calcolo TEWI</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23" t="str">
        <f>X!C435</f>
        <v>Il calcolo TEWI (Total Equivalent Warming Impact) può essere usato per calcolare e confrontare l'impatto ambientale dei sistemi di refrigerazione.</v>
      </c>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Economicità</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23" t="str">
        <f>X!C437</f>
        <v>Nel calcolo dell’economicità, i costi per il funzionamento e la manutenzione del sistema di refrigerazione sono calcolati per tutta la sua durata. Inoltre, i costi di compensazione del CO2 sono calcolati e riportati.</v>
      </c>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Risultati</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23" t="str">
        <f>X!C439</f>
        <v>I risultati del calcolo sono riassunti qui e possono essere trasferiti direttamente nella garanzia di prestazione "Sistemi di refrigerazione". Lo strumento del freddo può anche essere d'aiuto per le domande di finanziamento o per le richieste di un permesso di esenzione (ChemRRV).</v>
      </c>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23"/>
      <c r="AN64" s="1223"/>
      <c r="AO64" s="1223"/>
      <c r="AP64" s="1223"/>
      <c r="AQ64" s="1223"/>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Inizi ora e specifichi il suo sistema di refrigerazione nel primo passo. Buona fortuna.</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Efficienza per il freddo</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Strumento per prognosi di consumo elettrico, impatto ambientale e costo del ciclo di vita per impianti di refrigerazione e climatizzazione</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Specifiche dell'impianto</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44" t="str">
        <f>IF(Q87="","",Q87)</f>
        <v/>
      </c>
      <c r="L80" s="1244"/>
      <c r="M80" s="1244"/>
      <c r="N80" s="1244"/>
      <c r="O80" s="1244"/>
      <c r="P80" s="1244"/>
      <c r="Q80" s="1244"/>
      <c r="R80" s="1244"/>
      <c r="S80" s="1244"/>
      <c r="T80" s="1244"/>
      <c r="U80" s="1244"/>
      <c r="V80" s="1244"/>
      <c r="W80" s="36"/>
      <c r="X80" s="36"/>
      <c r="Y80" s="1248" t="str">
        <f>IF(AP87="","",AP87)</f>
        <v/>
      </c>
      <c r="Z80" s="1248"/>
      <c r="AA80" s="1248"/>
      <c r="AB80" s="1248"/>
      <c r="AC80" s="1248"/>
      <c r="AD80" s="36"/>
      <c r="AE80" s="1244" t="str">
        <f>IF(AP94="","",AP94)</f>
        <v/>
      </c>
      <c r="AF80" s="1244"/>
      <c r="AG80" s="1244"/>
      <c r="AH80" s="1244"/>
      <c r="AI80" s="1244"/>
      <c r="AJ80" s="1244"/>
      <c r="AK80" s="1244"/>
      <c r="AL80" s="1244"/>
      <c r="AM80" s="1244"/>
      <c r="AN80" s="446"/>
      <c r="AO80" s="1245" t="str">
        <f>X!C297</f>
        <v>Versione 6.3 (2025): valida fino al 30 maggio 2026</v>
      </c>
      <c r="AP80" s="1245"/>
      <c r="AQ80" s="1245"/>
      <c r="AR80" s="1245"/>
      <c r="AS80" s="1245"/>
      <c r="AT80" s="1245"/>
      <c r="AU80" s="1245"/>
      <c r="AV80" s="1245"/>
      <c r="AW80" s="1245"/>
      <c r="AX80" s="1245"/>
      <c r="AY80" s="1245"/>
      <c r="AZ80" s="1245"/>
      <c r="BA80" s="1245"/>
      <c r="BB80" s="1245"/>
      <c r="BC80" s="1245"/>
      <c r="BD80" s="1245"/>
      <c r="BE80" s="1245"/>
      <c r="BF80" s="1245"/>
      <c r="BG80" s="1245"/>
      <c r="BH80" s="1245"/>
      <c r="BI80" s="1245"/>
      <c r="BJ80" s="1245"/>
      <c r="BK80" s="1245"/>
      <c r="BL80" s="1245"/>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Oggetto</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Denominazione</v>
      </c>
      <c r="L87" s="49"/>
      <c r="M87" s="49"/>
      <c r="Q87" s="1213"/>
      <c r="R87" s="1213"/>
      <c r="S87" s="1213"/>
      <c r="T87" s="1213"/>
      <c r="U87" s="1213"/>
      <c r="V87" s="1213"/>
      <c r="W87" s="1213"/>
      <c r="X87" s="1213"/>
      <c r="Y87" s="1213"/>
      <c r="Z87" s="1213"/>
      <c r="AA87" s="1213"/>
      <c r="AB87" s="1213"/>
      <c r="AC87" s="1213"/>
      <c r="AD87" s="1213"/>
      <c r="AE87" s="1213"/>
      <c r="AF87" s="1213"/>
      <c r="AG87" s="1213"/>
      <c r="AH87" s="1213"/>
      <c r="AI87" s="1214"/>
      <c r="AL87" s="49" t="str">
        <f>X!$C$78</f>
        <v>Data</v>
      </c>
      <c r="AM87" s="49"/>
      <c r="AN87" s="49"/>
      <c r="AO87" s="49"/>
      <c r="AP87" s="1246"/>
      <c r="AQ87" s="1246"/>
      <c r="AR87" s="1246"/>
      <c r="AS87" s="1246"/>
      <c r="AT87" s="1246"/>
      <c r="AU87" s="1246"/>
      <c r="AV87" s="1246"/>
      <c r="AW87" s="1246"/>
      <c r="AX87" s="1246"/>
      <c r="AY87" s="1246"/>
      <c r="AZ87" s="1246"/>
      <c r="BA87" s="1246"/>
      <c r="BB87" s="1246"/>
      <c r="BC87" s="1246"/>
      <c r="BD87" s="1246"/>
      <c r="BE87" s="1246"/>
      <c r="BF87" s="1246"/>
      <c r="BG87" s="1246"/>
      <c r="BH87" s="1247"/>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62" t="s">
        <v>1773</v>
      </c>
      <c r="J92" s="44"/>
      <c r="K92" s="45">
        <v>2</v>
      </c>
      <c r="L92" s="45" t="str">
        <f>X!$C$33</f>
        <v>Riempito da</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62"/>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62"/>
      <c r="H94" s="201"/>
      <c r="J94" s="48"/>
      <c r="K94" s="49" t="str">
        <f>X!$C$110</f>
        <v>Ditta</v>
      </c>
      <c r="L94" s="49"/>
      <c r="M94" s="49"/>
      <c r="N94" s="49"/>
      <c r="O94" s="49"/>
      <c r="Q94" s="1213"/>
      <c r="R94" s="1213"/>
      <c r="S94" s="1213"/>
      <c r="T94" s="1213"/>
      <c r="U94" s="1213"/>
      <c r="V94" s="1213"/>
      <c r="W94" s="1213"/>
      <c r="X94" s="1213"/>
      <c r="Y94" s="1213"/>
      <c r="Z94" s="1213"/>
      <c r="AA94" s="1213"/>
      <c r="AB94" s="1213"/>
      <c r="AC94" s="1213"/>
      <c r="AD94" s="1213"/>
      <c r="AE94" s="1213"/>
      <c r="AF94" s="1213"/>
      <c r="AG94" s="1213"/>
      <c r="AH94" s="1213"/>
      <c r="AI94" s="1214"/>
      <c r="AL94" s="49" t="str">
        <f>X!$C$183</f>
        <v>Nome</v>
      </c>
      <c r="AM94" s="49"/>
      <c r="AN94" s="49"/>
      <c r="AO94" s="49"/>
      <c r="AP94" s="1213"/>
      <c r="AQ94" s="1213"/>
      <c r="AR94" s="1213"/>
      <c r="AS94" s="1213"/>
      <c r="AT94" s="1213"/>
      <c r="AU94" s="1213"/>
      <c r="AV94" s="1213"/>
      <c r="AW94" s="1213"/>
      <c r="AX94" s="1213"/>
      <c r="AY94" s="1213"/>
      <c r="AZ94" s="1213"/>
      <c r="BA94" s="1213"/>
      <c r="BB94" s="1213"/>
      <c r="BC94" s="1213"/>
      <c r="BD94" s="1213"/>
      <c r="BE94" s="1213"/>
      <c r="BF94" s="1213"/>
      <c r="BG94" s="1213"/>
      <c r="BH94" s="1214"/>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62"/>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62"/>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62"/>
      <c r="J97" s="44"/>
      <c r="K97" s="29" t="str">
        <f>X!$C$43</f>
        <v>Osservazioni</v>
      </c>
      <c r="L97" s="29"/>
      <c r="M97" s="29"/>
      <c r="Q97" s="1249"/>
      <c r="R97" s="1250"/>
      <c r="S97" s="1250"/>
      <c r="T97" s="1250"/>
      <c r="U97" s="1250"/>
      <c r="V97" s="1250"/>
      <c r="W97" s="1250"/>
      <c r="X97" s="1250"/>
      <c r="Y97" s="1250"/>
      <c r="Z97" s="1250"/>
      <c r="AA97" s="1250"/>
      <c r="AB97" s="1250"/>
      <c r="AC97" s="1250"/>
      <c r="AD97" s="1250"/>
      <c r="AE97" s="1250"/>
      <c r="AF97" s="1250"/>
      <c r="AG97" s="1250"/>
      <c r="AH97" s="1250"/>
      <c r="AI97" s="1250"/>
      <c r="AJ97" s="1250"/>
      <c r="AK97" s="1250"/>
      <c r="AL97" s="1250"/>
      <c r="AM97" s="1250"/>
      <c r="AN97" s="1250"/>
      <c r="AO97" s="1250"/>
      <c r="AP97" s="1250"/>
      <c r="AQ97" s="1250"/>
      <c r="AR97" s="1250"/>
      <c r="AS97" s="1250"/>
      <c r="AT97" s="1250"/>
      <c r="AU97" s="1250"/>
      <c r="AV97" s="1250"/>
      <c r="AW97" s="1250"/>
      <c r="AX97" s="1250"/>
      <c r="AY97" s="1250"/>
      <c r="AZ97" s="1250"/>
      <c r="BA97" s="1250"/>
      <c r="BB97" s="1250"/>
      <c r="BC97" s="1250"/>
      <c r="BD97" s="1250"/>
      <c r="BE97" s="1250"/>
      <c r="BF97" s="1250"/>
      <c r="BG97" s="1250"/>
      <c r="BH97" s="1251"/>
      <c r="BI97" s="463"/>
      <c r="BJ97" s="463"/>
      <c r="BK97" s="463"/>
      <c r="BL97" s="463"/>
      <c r="BM97" s="47"/>
    </row>
    <row r="98" spans="2:270" x14ac:dyDescent="0.15">
      <c r="G98" s="1262"/>
      <c r="J98" s="44"/>
      <c r="K98" s="29"/>
      <c r="L98" s="29"/>
      <c r="M98" s="29"/>
      <c r="Q98" s="1252"/>
      <c r="R98" s="1253"/>
      <c r="S98" s="1253"/>
      <c r="T98" s="1253"/>
      <c r="U98" s="1253"/>
      <c r="V98" s="1253"/>
      <c r="W98" s="1253"/>
      <c r="X98" s="1253"/>
      <c r="Y98" s="1253"/>
      <c r="Z98" s="1253"/>
      <c r="AA98" s="1253"/>
      <c r="AB98" s="1253"/>
      <c r="AC98" s="1253"/>
      <c r="AD98" s="1253"/>
      <c r="AE98" s="1253"/>
      <c r="AF98" s="1253"/>
      <c r="AG98" s="1253"/>
      <c r="AH98" s="1253"/>
      <c r="AI98" s="1253"/>
      <c r="AJ98" s="1253"/>
      <c r="AK98" s="1253"/>
      <c r="AL98" s="1253"/>
      <c r="AM98" s="1253"/>
      <c r="AN98" s="1253"/>
      <c r="AO98" s="1253"/>
      <c r="AP98" s="1253"/>
      <c r="AQ98" s="1253"/>
      <c r="AR98" s="1253"/>
      <c r="AS98" s="1253"/>
      <c r="AT98" s="1253"/>
      <c r="AU98" s="1253"/>
      <c r="AV98" s="1253"/>
      <c r="AW98" s="1253"/>
      <c r="AX98" s="1253"/>
      <c r="AY98" s="1253"/>
      <c r="AZ98" s="1253"/>
      <c r="BA98" s="1253"/>
      <c r="BB98" s="1253"/>
      <c r="BC98" s="1253"/>
      <c r="BD98" s="1253"/>
      <c r="BE98" s="1253"/>
      <c r="BF98" s="1253"/>
      <c r="BG98" s="1253"/>
      <c r="BH98" s="1254"/>
      <c r="BI98" s="463"/>
      <c r="BJ98" s="463"/>
      <c r="BK98" s="463"/>
      <c r="BL98" s="463"/>
      <c r="BM98" s="47"/>
    </row>
    <row r="99" spans="2:270" x14ac:dyDescent="0.15">
      <c r="G99" s="1262"/>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62"/>
      <c r="K100" s="29"/>
      <c r="L100" s="29"/>
      <c r="M100" s="29"/>
      <c r="N100" s="29"/>
      <c r="O100" s="29"/>
      <c r="P100" s="29"/>
      <c r="Q100" s="29"/>
      <c r="R100" s="29"/>
      <c r="S100" s="29"/>
      <c r="T100" s="29"/>
      <c r="U100" s="29"/>
      <c r="V100" s="29"/>
      <c r="W100" s="29"/>
      <c r="X100" s="29"/>
      <c r="Y100" s="29"/>
      <c r="Z100" s="29"/>
      <c r="AA100" s="29"/>
    </row>
    <row r="101" spans="2:270" ht="9" customHeight="1" x14ac:dyDescent="0.15">
      <c r="G101" s="1262"/>
      <c r="K101" s="29"/>
      <c r="L101" s="29"/>
      <c r="M101" s="29"/>
      <c r="N101" s="29"/>
      <c r="O101" s="29"/>
      <c r="P101" s="29"/>
      <c r="Q101" s="29"/>
      <c r="R101" s="29"/>
      <c r="S101" s="29"/>
      <c r="T101" s="29"/>
      <c r="U101" s="29"/>
      <c r="V101" s="29"/>
      <c r="W101" s="29"/>
      <c r="X101" s="29"/>
      <c r="Y101" s="29"/>
      <c r="Z101" s="29"/>
      <c r="AA101" s="29"/>
    </row>
    <row r="102" spans="2:270" x14ac:dyDescent="0.15">
      <c r="G102" s="1262"/>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62"/>
      <c r="J103" s="44"/>
      <c r="K103" s="45">
        <v>3</v>
      </c>
      <c r="L103" s="45" t="str">
        <f>X!$C$265</f>
        <v>Cosa si vuole calcolare?</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Utilizzo</v>
      </c>
      <c r="M105" s="29"/>
      <c r="N105" s="29"/>
      <c r="O105" s="29"/>
      <c r="P105"/>
      <c r="Q105"/>
      <c r="R105"/>
      <c r="S105"/>
      <c r="T105"/>
      <c r="U105"/>
      <c r="V105"/>
      <c r="W105"/>
      <c r="X105"/>
      <c r="Y105"/>
      <c r="Z105"/>
      <c r="AA105"/>
      <c r="AB105"/>
      <c r="AC105"/>
      <c r="AD105"/>
      <c r="AE105"/>
      <c r="AF105"/>
      <c r="AG105"/>
      <c r="AH105"/>
      <c r="AI105"/>
      <c r="AJ105"/>
      <c r="AK105"/>
      <c r="AL105"/>
      <c r="AM105"/>
      <c r="AN105"/>
      <c r="AO105"/>
      <c r="AP105" s="1224"/>
      <c r="AQ105" s="1224"/>
      <c r="AR105" s="1224"/>
      <c r="AS105" s="1224"/>
      <c r="AT105" s="1224"/>
      <c r="AU105" s="1224"/>
      <c r="AV105" s="1224"/>
      <c r="AW105" s="1224"/>
      <c r="AX105" s="1224"/>
      <c r="AY105" s="1224"/>
      <c r="AZ105" s="1224"/>
      <c r="BA105" s="1224"/>
      <c r="BB105" s="1224"/>
      <c r="BC105" s="1224"/>
      <c r="BD105" s="1224"/>
      <c r="BE105" s="1224"/>
      <c r="BF105" s="1224"/>
      <c r="BG105" s="1224"/>
      <c r="BH105" s="1225"/>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Volete stimare il fabbisogno di elettricità?</v>
      </c>
      <c r="M108" s="511"/>
      <c r="N108" s="49"/>
      <c r="O108" s="29"/>
      <c r="Q108" s="29"/>
      <c r="R108" s="29"/>
      <c r="S108" s="29"/>
      <c r="T108" s="29"/>
      <c r="AI108" s="27"/>
      <c r="AJ108" s="27"/>
      <c r="AK108" s="27"/>
      <c r="AL108" s="27"/>
      <c r="AM108" s="27"/>
      <c r="AN108" s="27"/>
      <c r="AO108" s="27"/>
      <c r="AP108" s="1213"/>
      <c r="AQ108" s="1213"/>
      <c r="AR108" s="1213"/>
      <c r="AS108" s="1213"/>
      <c r="AT108" s="1213"/>
      <c r="AU108" s="1214"/>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Nel passo 3.2 si definisce il metodo di calcolo della domanda di elettricità del sistema di refrigerazione.</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Importante:</v>
      </c>
      <c r="M111" s="911"/>
      <c r="N111" s="911"/>
      <c r="P111" s="905" t="str">
        <f>X!C466</f>
        <v>L'utilizzo del calore residuo può essere calcolato solo con la stima basata sui dati di funzionamento (A).</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L'utilizzo del calore residuo non può essere calcolato con la stima semplificata basata sui valori caratteristici SEER o SEPR (B).</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inserire qui manualmente il fabbisogno di elettricità</v>
      </c>
      <c r="N115" s="49"/>
      <c r="AP115" s="1215"/>
      <c r="AQ115" s="1215"/>
      <c r="AR115" s="1215"/>
      <c r="AS115" s="1215"/>
      <c r="AT115" s="1215"/>
      <c r="AU115" s="1216"/>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Funzionamento dello scambiatore di calore</v>
      </c>
      <c r="N117" s="49"/>
      <c r="AP117" s="1215"/>
      <c r="AQ117" s="1215"/>
      <c r="AR117" s="1215"/>
      <c r="AS117" s="1215"/>
      <c r="AT117" s="1215"/>
      <c r="AU117" s="1216"/>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13"/>
      <c r="AQ119" s="1213"/>
      <c r="AR119" s="1213"/>
      <c r="AS119" s="1213"/>
      <c r="AT119" s="1213"/>
      <c r="AU119" s="1214"/>
      <c r="AV119" s="1123" t="s">
        <v>1702</v>
      </c>
      <c r="AW119" s="1211" t="str">
        <f>AS211</f>
        <v/>
      </c>
      <c r="AX119" s="1211"/>
      <c r="AY119" s="1211"/>
      <c r="AZ119" s="1211"/>
      <c r="BA119" s="1211"/>
      <c r="BB119" s="1211"/>
      <c r="BC119" s="1211"/>
      <c r="BD119" s="1211"/>
      <c r="BE119" s="1211"/>
      <c r="BF119" s="1211"/>
      <c r="BG119" s="1211"/>
      <c r="BH119" s="1211"/>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11"/>
      <c r="AX120" s="1211"/>
      <c r="AY120" s="1211"/>
      <c r="AZ120" s="1211"/>
      <c r="BA120" s="1211"/>
      <c r="BB120" s="1211"/>
      <c r="BC120" s="1211"/>
      <c r="BD120" s="1211"/>
      <c r="BE120" s="1211"/>
      <c r="BF120" s="1211"/>
      <c r="BG120" s="1211"/>
      <c r="BH120" s="1211"/>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11"/>
      <c r="AX121" s="1211"/>
      <c r="AY121" s="1211"/>
      <c r="AZ121" s="1211"/>
      <c r="BA121" s="1211"/>
      <c r="BB121" s="1211"/>
      <c r="BC121" s="1211"/>
      <c r="BD121" s="1211"/>
      <c r="BE121" s="1211"/>
      <c r="BF121" s="1211"/>
      <c r="BG121" s="1211"/>
      <c r="BH121" s="1211"/>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Volete confrontare due varianti?</v>
      </c>
      <c r="M122" s="29"/>
      <c r="N122" s="49"/>
      <c r="AP122" s="1213"/>
      <c r="AQ122" s="1213"/>
      <c r="AR122" s="1213"/>
      <c r="AS122" s="1213"/>
      <c r="AT122" s="1213"/>
      <c r="AU122" s="1214"/>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Denominazione</v>
      </c>
      <c r="N124" s="49"/>
      <c r="O124" s="55"/>
      <c r="AP124" s="1213"/>
      <c r="AQ124" s="1213"/>
      <c r="AR124" s="1213"/>
      <c r="AS124" s="1213"/>
      <c r="AT124" s="1213"/>
      <c r="AU124" s="1213"/>
      <c r="AV124" s="1213"/>
      <c r="AW124" s="1213"/>
      <c r="AX124" s="1213"/>
      <c r="AY124" s="1213"/>
      <c r="AZ124" s="1213"/>
      <c r="BA124" s="1213"/>
      <c r="BB124" s="1213"/>
      <c r="BC124" s="1213"/>
      <c r="BD124" s="1213"/>
      <c r="BE124" s="1213"/>
      <c r="BF124" s="1213"/>
      <c r="BG124" s="1213"/>
      <c r="BH124" s="1214"/>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Denominazione della variante B</v>
      </c>
      <c r="N126" s="49"/>
      <c r="O126" s="55"/>
      <c r="AP126" s="1213"/>
      <c r="AQ126" s="1213"/>
      <c r="AR126" s="1213"/>
      <c r="AS126" s="1213"/>
      <c r="AT126" s="1213"/>
      <c r="AU126" s="1213"/>
      <c r="AV126" s="1213"/>
      <c r="AW126" s="1213"/>
      <c r="AX126" s="1213"/>
      <c r="AY126" s="1213"/>
      <c r="AZ126" s="1213"/>
      <c r="BA126" s="1213"/>
      <c r="BB126" s="1213"/>
      <c r="BC126" s="1213"/>
      <c r="BD126" s="1213"/>
      <c r="BE126" s="1213"/>
      <c r="BF126" s="1213"/>
      <c r="BG126" s="1213"/>
      <c r="BH126" s="1214"/>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Panoramica degli strumenti</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Calcolo basato sui valori operativi</v>
      </c>
      <c r="M134" s="1070"/>
      <c r="N134" s="1070"/>
      <c r="O134" s="1070"/>
      <c r="P134" s="1070"/>
      <c r="Q134" s="1070"/>
      <c r="R134" s="1070"/>
      <c r="S134" s="1070"/>
      <c r="T134" s="1070"/>
      <c r="U134" s="1070"/>
      <c r="V134" s="1070"/>
      <c r="W134" s="1070"/>
      <c r="X134" s="1070"/>
      <c r="Y134" s="1070"/>
      <c r="Z134" s="1070"/>
      <c r="AA134" s="1070"/>
      <c r="AC134" s="1070" t="str">
        <f>X!$C$414</f>
        <v>B: Calcolo tramite valori caratteristici</v>
      </c>
      <c r="AD134" s="1070"/>
      <c r="AE134" s="1070"/>
      <c r="AF134" s="1070"/>
      <c r="AG134" s="1070"/>
      <c r="AH134" s="1070"/>
      <c r="AI134" s="1070"/>
      <c r="AJ134" s="1070"/>
      <c r="AK134" s="1070"/>
      <c r="AL134" s="1070"/>
      <c r="AM134" s="1070"/>
      <c r="AN134" s="1070"/>
      <c r="AO134" s="1070"/>
      <c r="AP134" s="1070"/>
      <c r="AQ134" s="1070"/>
      <c r="AS134" s="1070" t="str">
        <f>X!$C$415</f>
        <v>C: Immissione manuale (per il calcolo TEWI)</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20" t="str">
        <f>X!C296</f>
        <v>Vai al calcolo del fabbisogno di elettricità (2A)</v>
      </c>
      <c r="N136" s="1220"/>
      <c r="O136" s="1220"/>
      <c r="P136" s="1220"/>
      <c r="Q136" s="1220"/>
      <c r="R136" s="1220"/>
      <c r="S136" s="1220"/>
      <c r="T136" s="1220"/>
      <c r="U136" s="1220"/>
      <c r="V136" s="1220"/>
      <c r="W136" s="1220"/>
      <c r="X136" s="1220"/>
      <c r="Y136" s="1220"/>
      <c r="Z136" s="1220"/>
      <c r="AA136" s="1220"/>
      <c r="AB136" s="1064"/>
      <c r="AC136" s="1066" t="s">
        <v>12</v>
      </c>
      <c r="AD136" s="1221" t="str">
        <f>X!C290</f>
        <v>Vai al calcolo del fabbisogno di elettricità (2B)</v>
      </c>
      <c r="AE136" s="1221"/>
      <c r="AF136" s="1221"/>
      <c r="AG136" s="1221"/>
      <c r="AH136" s="1221"/>
      <c r="AI136" s="1221"/>
      <c r="AJ136" s="1221"/>
      <c r="AK136" s="1221"/>
      <c r="AL136" s="1221"/>
      <c r="AM136" s="1221"/>
      <c r="AN136" s="1221"/>
      <c r="AO136" s="1221"/>
      <c r="AP136" s="1221"/>
      <c r="AQ136" s="1221"/>
      <c r="AR136" s="1064"/>
      <c r="AS136" s="161"/>
      <c r="AT136" t="str">
        <f>IF(AP115&gt;0,AW190,AK190)</f>
        <v>Inserire il fabbisogno di elettricità al punto 3.2.</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Recupero del calore</v>
      </c>
      <c r="O139" s="1193"/>
      <c r="P139" s="1193"/>
      <c r="Q139" s="1193"/>
      <c r="R139" s="1193"/>
      <c r="S139" s="1194"/>
      <c r="T139" s="1194"/>
      <c r="U139" s="1194"/>
      <c r="V139" s="1194"/>
      <c r="W139" s="1194"/>
      <c r="X139" s="1194"/>
      <c r="Y139" s="1194"/>
      <c r="Z139" s="1194"/>
      <c r="AA139" s="1194"/>
      <c r="AB139" s="1195"/>
      <c r="AC139" s="1066"/>
      <c r="AD139" s="1198" t="s">
        <v>1884</v>
      </c>
      <c r="AE139" s="1196" t="str">
        <f>N139</f>
        <v>Recupero del calore</v>
      </c>
      <c r="AF139" s="1194"/>
      <c r="AG139" s="1194"/>
      <c r="AH139" s="1194"/>
      <c r="AI139" s="1194"/>
      <c r="AJ139" s="1194"/>
      <c r="AK139" s="1194"/>
      <c r="AL139" s="1194"/>
      <c r="AM139" s="1194"/>
      <c r="AN139" s="1194"/>
      <c r="AO139" s="1194"/>
      <c r="AP139" s="1194"/>
      <c r="AQ139" s="1194"/>
      <c r="AR139" s="1195"/>
      <c r="AS139" s="161"/>
      <c r="AT139" s="1197" t="s">
        <v>1884</v>
      </c>
      <c r="AU139" t="str">
        <f>N139</f>
        <v>Recupero del calore</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21" t="str">
        <f>X!$C$284</f>
        <v>al calcolo TEWI (3)</v>
      </c>
      <c r="N141" s="1221"/>
      <c r="O141" s="1221"/>
      <c r="P141" s="1221"/>
      <c r="Q141" s="1221"/>
      <c r="R141" s="1221"/>
      <c r="S141" s="1221"/>
      <c r="T141" s="1221"/>
      <c r="U141" s="1221"/>
      <c r="V141" s="1221"/>
      <c r="W141" s="1221"/>
      <c r="X141" s="1221"/>
      <c r="Y141" s="1221"/>
      <c r="Z141" s="1221"/>
      <c r="AA141" s="1221"/>
      <c r="AB141" s="1048"/>
      <c r="AC141" s="1066" t="s">
        <v>12</v>
      </c>
      <c r="AD141" s="1221" t="str">
        <f>X!$C$284</f>
        <v>al calcolo TEWI (3)</v>
      </c>
      <c r="AE141" s="1221"/>
      <c r="AF141" s="1221"/>
      <c r="AG141" s="1221"/>
      <c r="AH141" s="1221"/>
      <c r="AI141" s="1221"/>
      <c r="AJ141" s="1221"/>
      <c r="AK141" s="1221"/>
      <c r="AL141" s="1221"/>
      <c r="AM141" s="1221"/>
      <c r="AN141" s="1221"/>
      <c r="AO141" s="1221"/>
      <c r="AP141" s="1221"/>
      <c r="AQ141" s="1221"/>
      <c r="AR141" s="1048"/>
      <c r="AS141" s="1066" t="s">
        <v>12</v>
      </c>
      <c r="AT141" s="1221" t="str">
        <f>X!$C$284</f>
        <v>al calcolo TEWI (3)</v>
      </c>
      <c r="AU141" s="1221"/>
      <c r="AV141" s="1221"/>
      <c r="AW141" s="1221"/>
      <c r="AX141" s="1221"/>
      <c r="AY141" s="1221"/>
      <c r="AZ141" s="1221"/>
      <c r="BA141" s="1221"/>
      <c r="BB141" s="1221"/>
      <c r="BC141" s="1221"/>
      <c r="BD141" s="1221"/>
      <c r="BE141" s="1221"/>
      <c r="BF141" s="1221"/>
      <c r="BG141" s="1221"/>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21" t="str">
        <f>X!$C$286</f>
        <v>al calcolo dell'economicità (4)</v>
      </c>
      <c r="N143" s="1221"/>
      <c r="O143" s="1221"/>
      <c r="P143" s="1221"/>
      <c r="Q143" s="1221"/>
      <c r="R143" s="1221"/>
      <c r="S143" s="1221"/>
      <c r="T143" s="1221"/>
      <c r="U143" s="1221"/>
      <c r="V143" s="1221"/>
      <c r="W143" s="1221"/>
      <c r="X143" s="1221"/>
      <c r="Y143" s="1221"/>
      <c r="Z143" s="1221"/>
      <c r="AA143" s="1221"/>
      <c r="AB143" s="1048"/>
      <c r="AC143" s="1066" t="s">
        <v>12</v>
      </c>
      <c r="AD143" s="1221" t="str">
        <f>X!$C$286</f>
        <v>al calcolo dell'economicità (4)</v>
      </c>
      <c r="AE143" s="1221"/>
      <c r="AF143" s="1221"/>
      <c r="AG143" s="1221"/>
      <c r="AH143" s="1221"/>
      <c r="AI143" s="1221"/>
      <c r="AJ143" s="1221"/>
      <c r="AK143" s="1221"/>
      <c r="AL143" s="1221"/>
      <c r="AM143" s="1221"/>
      <c r="AN143" s="1221"/>
      <c r="AO143" s="1221"/>
      <c r="AP143" s="1221"/>
      <c r="AQ143" s="1221"/>
      <c r="AR143" s="1048"/>
      <c r="AS143" s="1066" t="s">
        <v>12</v>
      </c>
      <c r="AT143" s="1221" t="str">
        <f>X!$C$286</f>
        <v>al calcolo dell'economicità (4)</v>
      </c>
      <c r="AU143" s="1221"/>
      <c r="AV143" s="1221"/>
      <c r="AW143" s="1221"/>
      <c r="AX143" s="1221"/>
      <c r="AY143" s="1221"/>
      <c r="AZ143" s="1221"/>
      <c r="BA143" s="1221"/>
      <c r="BB143" s="1221"/>
      <c r="BC143" s="1221"/>
      <c r="BD143" s="1221"/>
      <c r="BE143" s="1221"/>
      <c r="BF143" s="1221"/>
      <c r="BG143" s="1221"/>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21" t="str">
        <f>X!$C$287</f>
        <v>ai risultati (5)</v>
      </c>
      <c r="N145" s="1221"/>
      <c r="O145" s="1221"/>
      <c r="P145" s="1221"/>
      <c r="Q145" s="1221"/>
      <c r="R145" s="1221"/>
      <c r="S145" s="1221"/>
      <c r="T145" s="1221"/>
      <c r="U145" s="1221"/>
      <c r="V145" s="1221"/>
      <c r="W145" s="1221"/>
      <c r="X145" s="1221"/>
      <c r="Y145" s="1221"/>
      <c r="Z145" s="1221"/>
      <c r="AA145" s="1221"/>
      <c r="AB145" s="1048"/>
      <c r="AC145" s="1066" t="s">
        <v>12</v>
      </c>
      <c r="AD145" s="1221" t="str">
        <f>X!$C$287</f>
        <v>ai risultati (5)</v>
      </c>
      <c r="AE145" s="1221"/>
      <c r="AF145" s="1221"/>
      <c r="AG145" s="1221"/>
      <c r="AH145" s="1221"/>
      <c r="AI145" s="1221"/>
      <c r="AJ145" s="1221"/>
      <c r="AK145" s="1221"/>
      <c r="AL145" s="1221"/>
      <c r="AM145" s="1221"/>
      <c r="AN145" s="1221"/>
      <c r="AO145" s="1221"/>
      <c r="AP145" s="1221"/>
      <c r="AQ145" s="1221"/>
      <c r="AR145" s="1048"/>
      <c r="AS145" s="1066" t="s">
        <v>12</v>
      </c>
      <c r="AT145" s="1221" t="str">
        <f>X!$C$287</f>
        <v>ai risultati (5)</v>
      </c>
      <c r="AU145" s="1221"/>
      <c r="AV145" s="1221"/>
      <c r="AW145" s="1221"/>
      <c r="AX145" s="1221"/>
      <c r="AY145" s="1221"/>
      <c r="AZ145" s="1221"/>
      <c r="BA145" s="1221"/>
      <c r="BB145" s="1221"/>
      <c r="BC145" s="1221"/>
      <c r="BD145" s="1221"/>
      <c r="BE145" s="1221"/>
      <c r="BF145" s="1221"/>
      <c r="BG145" s="1221"/>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12" t="str">
        <f>X!C291</f>
        <v>in alto</v>
      </c>
      <c r="AN148" s="1212"/>
      <c r="AO148" s="1212"/>
      <c r="AP148" s="1212"/>
      <c r="AQ148" s="1212"/>
      <c r="AR148" s="1212"/>
      <c r="AS148" s="1212"/>
      <c r="AT148" s="1212"/>
      <c r="AU148" s="1212"/>
      <c r="AV148" s="1212"/>
      <c r="AW148" s="1212"/>
      <c r="AX148" s="1212"/>
      <c r="AY148" s="1212"/>
      <c r="AZ148" s="1212"/>
      <c r="BA148" s="1212"/>
      <c r="BB148" s="1212"/>
      <c r="BC148" s="1212"/>
      <c r="BD148" s="1212"/>
      <c r="BE148" s="1212"/>
      <c r="BF148" s="1212"/>
      <c r="BG148" s="1212"/>
      <c r="BH148" s="1212"/>
      <c r="BI148" s="1212"/>
      <c r="BJ148" s="1212"/>
      <c r="BK148" s="1212"/>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Editore: SvizzeraEnergia, 3003 Berna</v>
      </c>
      <c r="Q150" s="60"/>
      <c r="R150" s="60"/>
      <c r="S150" s="60"/>
      <c r="T150" s="60"/>
      <c r="U150" s="60"/>
      <c r="V150" s="60"/>
      <c r="W150" s="60"/>
      <c r="X150" s="60"/>
      <c r="Y150" s="60"/>
      <c r="Z150" s="60"/>
      <c r="AA150" s="60"/>
      <c r="AB150" s="1207" t="str">
        <f>X!C463</f>
        <v>Concezione e programmazione: zweiweg gmbh, Zurigo</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Calcolare il fabbisogno di elettricità nel foglio 2A (ritorno a 1 specifiche dell'impianto)</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Calcolare il fabbisogno di elettricità nel foglio 2A (ritorno a 1 specifiche dell'impianto)</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Calcolare il fabbisogno di elettricità nel foglio 2A (ritorno a 1 specifiche dell'impianto)</v>
      </c>
      <c r="M188" s="34"/>
      <c r="N188" s="34"/>
      <c r="O188" s="34"/>
      <c r="P188" s="34"/>
      <c r="Q188" s="34"/>
      <c r="R188" s="34"/>
      <c r="S188" s="34"/>
      <c r="T188" s="34"/>
      <c r="U188" s="34"/>
      <c r="V188" s="34"/>
      <c r="W188" s="34"/>
      <c r="X188" s="34"/>
      <c r="Y188" s="34"/>
      <c r="Z188" s="34"/>
      <c r="AA188" s="1238"/>
      <c r="AB188" s="1238"/>
      <c r="AC188" s="1238"/>
      <c r="AD188" s="1238"/>
      <c r="AE188" s="1238"/>
      <c r="AF188" s="1238"/>
      <c r="AG188" s="1238"/>
      <c r="AH188" s="1238"/>
      <c r="AI188" s="1238"/>
      <c r="AJ188" s="1238"/>
      <c r="AK188" s="1238"/>
      <c r="AL188" s="1238"/>
      <c r="AM188" s="1238"/>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28"/>
      <c r="BS188" s="1228"/>
      <c r="BT188" s="1228"/>
      <c r="BU188" s="1228"/>
      <c r="BV188" s="1228"/>
      <c r="BW188" s="1228"/>
      <c r="BX188" s="1228"/>
      <c r="BY188" s="1228"/>
      <c r="BZ188" s="1228"/>
      <c r="CA188" s="1228"/>
      <c r="CB188" s="1228"/>
      <c r="CC188" s="1228"/>
      <c r="CD188" s="1228"/>
      <c r="CE188" s="859"/>
      <c r="CF188" s="897"/>
      <c r="CG188" s="859"/>
      <c r="CH188" s="859"/>
      <c r="CI188" s="859"/>
      <c r="CJ188" s="859"/>
      <c r="CK188" s="859"/>
      <c r="CL188" s="859"/>
    </row>
    <row r="189" spans="2:270" ht="17" hidden="1" customHeight="1" outlineLevel="1" x14ac:dyDescent="0.15">
      <c r="L189" s="34" t="str">
        <f>X!C418</f>
        <v>Calcolare il fabbisogno di elettricità nel foglio 2B (ritorno a 1 specifiche dell'impianto)</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28"/>
      <c r="BS189" s="1228"/>
      <c r="BT189" s="1228"/>
      <c r="BU189" s="1228"/>
      <c r="BV189" s="1228"/>
      <c r="BW189" s="1228"/>
      <c r="BX189" s="1228"/>
      <c r="BY189" s="1228"/>
      <c r="BZ189" s="1228"/>
      <c r="CA189" s="1228"/>
      <c r="CB189" s="1228"/>
      <c r="CC189" s="1228"/>
      <c r="CD189" s="1228"/>
      <c r="CE189" s="859"/>
      <c r="CF189" s="897"/>
      <c r="CG189" s="859"/>
      <c r="CH189" s="859"/>
      <c r="CI189" s="859"/>
      <c r="CJ189" s="859"/>
      <c r="CK189" s="859"/>
      <c r="CL189" s="859"/>
    </row>
    <row r="190" spans="2:270" ht="17" hidden="1" customHeight="1" outlineLevel="1" x14ac:dyDescent="0.15">
      <c r="L190" s="34" t="str">
        <f>X!C419</f>
        <v>Inserire il fabbisogno di elettricità nel foglio 1 al punto 3.2</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Inserire il fabbisogno di elettricità al punto 3.2.</v>
      </c>
      <c r="AL190" s="34"/>
      <c r="AM190" s="34"/>
      <c r="AN190" s="34"/>
      <c r="AO190" s="34"/>
      <c r="AP190" s="568"/>
      <c r="AQ190" s="568"/>
      <c r="AR190" s="568"/>
      <c r="AS190" s="568"/>
      <c r="AT190" s="568"/>
      <c r="AU190" s="568"/>
      <c r="AV190" s="568"/>
      <c r="AW190" s="568" t="str">
        <f>X!C446</f>
        <v>Il fabbisogno di elettricità è stato inserito manualmente.</v>
      </c>
      <c r="AX190" s="568"/>
      <c r="AY190" s="568"/>
      <c r="AZ190" s="568"/>
      <c r="BA190" s="568"/>
      <c r="BB190" s="568"/>
      <c r="BC190" s="568"/>
      <c r="BD190" s="568"/>
      <c r="BE190" s="34"/>
      <c r="BF190" s="34"/>
      <c r="BG190" s="34"/>
      <c r="BH190" s="34"/>
      <c r="BI190" s="34"/>
      <c r="BJ190" s="34"/>
      <c r="BK190" s="34"/>
      <c r="BL190" s="34"/>
      <c r="BM190" s="34"/>
      <c r="BN190" s="34"/>
      <c r="BO190" s="859"/>
      <c r="BP190" s="859"/>
      <c r="BR190" s="1228"/>
      <c r="BS190" s="1228"/>
      <c r="BT190" s="1228"/>
      <c r="BU190" s="1228"/>
      <c r="BV190" s="1228"/>
      <c r="BW190" s="1228"/>
      <c r="BX190" s="1228"/>
      <c r="BY190" s="1228"/>
      <c r="BZ190" s="1228"/>
      <c r="CA190" s="1228"/>
      <c r="CB190" s="1228"/>
      <c r="CC190" s="1228"/>
      <c r="CD190" s="1228"/>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Supermercato</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Industria</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Industria (raffreddatori di liquidi per freddo di processo)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Commercio</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Refrigeratore-climatizzatore vaporizzazione diretta (sistemi VRV, VRF)</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Refrigeratore-climatizzatore (refrigeratori condensazione ad acqua)</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Refrigeratore-climatizzatore (refrigeratori condensazione ad aria)</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Desidera eseguire anche una stima semplificata (B) con il valore SEER?</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Vuole eseguire la stima semplificata (B) usando il valore SEPR?</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Nota: quando si stima con il valore SEER, non è possibile calcolare l'utilizzo del calore.</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Nota: quando si stima con il valore SEPR, non è possibile calcolare l'utilizzo del calore.</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Supermercato</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Industria</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Industria (raffreddatori di liquidi per freddo di processo)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Commercio</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Refrigeratore-climatizzatore vaporizzazione diretta (sistemi VRV, VRF)</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Refrigeratore-climatizzatore (refrigeratori condensazione ad acqua)</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Refrigeratore-climatizzatore (refrigeratori condensazione ad aria)</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Sì</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No</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Secco</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Ibrido</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Denominazione</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Denominazione della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Denominazione della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Numero varianti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Inserimento manuale</v>
      </c>
      <c r="M264" s="34"/>
      <c r="N264" s="34"/>
      <c r="O264" s="34"/>
      <c r="P264" s="34"/>
      <c r="Q264" s="34"/>
      <c r="R264" s="34"/>
      <c r="S264" s="34"/>
      <c r="T264" s="34"/>
      <c r="U264" s="34"/>
      <c r="V264" s="34"/>
      <c r="W264" s="34" t="s">
        <v>20</v>
      </c>
      <c r="X264" s="34"/>
      <c r="Y264" s="34"/>
      <c r="Z264" s="34"/>
      <c r="AA264" s="1238">
        <f>AP115</f>
        <v>0</v>
      </c>
      <c r="AB264" s="1238"/>
      <c r="AC264" s="1238"/>
      <c r="AD264" s="1238"/>
      <c r="AE264" s="1238"/>
      <c r="AF264" s="73"/>
      <c r="AG264" s="73"/>
      <c r="AH264" s="34" t="str">
        <f>X!$C$175</f>
        <v>Inserimento manuale</v>
      </c>
      <c r="AI264" s="34"/>
      <c r="AJ264" s="34"/>
      <c r="AK264" s="34"/>
      <c r="AL264" s="34"/>
      <c r="AM264" s="34"/>
      <c r="AN264" s="34"/>
      <c r="AO264" s="73"/>
      <c r="AP264" s="73"/>
      <c r="AQ264" s="73"/>
      <c r="AR264" s="73"/>
      <c r="AS264" s="73"/>
      <c r="AT264" s="73"/>
      <c r="AU264" s="1208" t="str">
        <f>X!$C$198</f>
        <v>Verifica fonte</v>
      </c>
      <c r="AV264" s="1208"/>
      <c r="AW264" s="1208"/>
      <c r="AX264" s="1208"/>
      <c r="AY264" s="1208"/>
      <c r="AZ264" s="1208"/>
      <c r="BA264" s="1208"/>
      <c r="BB264" s="1208"/>
      <c r="BC264" s="1208"/>
      <c r="BD264" s="1208"/>
      <c r="BE264" s="1208"/>
      <c r="BR264" s="1228">
        <f>AA264</f>
        <v>0</v>
      </c>
      <c r="BS264" s="1228"/>
      <c r="BT264" s="1228"/>
      <c r="BU264" s="1228"/>
      <c r="BV264" s="1228"/>
      <c r="BW264" s="894"/>
      <c r="BX264" s="1229" t="str">
        <f>AH264</f>
        <v>Inserimento manuale</v>
      </c>
      <c r="BY264" s="1229"/>
      <c r="BZ264" s="1229"/>
      <c r="CA264" s="1229"/>
      <c r="CB264" s="1229"/>
      <c r="CC264" s="1229"/>
      <c r="CD264" s="1229"/>
      <c r="CE264" s="859"/>
      <c r="CF264" s="1229" t="str">
        <f>AU264</f>
        <v>Verifica fonte</v>
      </c>
      <c r="CG264" s="1229"/>
      <c r="CH264" s="1229"/>
      <c r="CI264" s="1229"/>
      <c r="CJ264" s="1229"/>
      <c r="CK264" s="1229"/>
      <c r="CL264" s="1229"/>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38">
        <f>'2A Electricity regular'!W275</f>
        <v>0</v>
      </c>
      <c r="AB265" s="1238"/>
      <c r="AC265" s="1238"/>
      <c r="AD265" s="1238"/>
      <c r="AE265" s="1238"/>
      <c r="AF265" s="73"/>
      <c r="AG265" s="73"/>
      <c r="AH265" s="34" t="str">
        <f>X!$C$48</f>
        <v>Calcolo con il tool del freddo</v>
      </c>
      <c r="AI265" s="34"/>
      <c r="AJ265" s="34"/>
      <c r="AK265" s="34"/>
      <c r="AL265" s="34"/>
      <c r="AM265" s="34"/>
      <c r="AN265" s="34"/>
      <c r="AO265" s="73"/>
      <c r="AP265" s="73"/>
      <c r="AQ265" s="73"/>
      <c r="AR265" s="73"/>
      <c r="AS265" s="73"/>
      <c r="AT265" s="73"/>
      <c r="AU265" s="1210" t="str">
        <f>'2A Electricity regular'!X197</f>
        <v/>
      </c>
      <c r="AV265" s="1210"/>
      <c r="AW265" s="1210"/>
      <c r="AX265" s="1210"/>
      <c r="AY265" s="1210"/>
      <c r="AZ265" s="1210"/>
      <c r="BA265" s="1210"/>
      <c r="BB265" s="1210"/>
      <c r="BC265" s="1210"/>
      <c r="BD265" s="1210"/>
      <c r="BE265" s="1210"/>
      <c r="BR265" s="1228">
        <f>'2A Electricity regular'!AU275</f>
        <v>0</v>
      </c>
      <c r="BS265" s="1228"/>
      <c r="BT265" s="1228"/>
      <c r="BU265" s="1228"/>
      <c r="BV265" s="1228"/>
      <c r="BW265" s="894"/>
      <c r="BX265" s="1229" t="str">
        <f>AH265</f>
        <v>Calcolo con il tool del freddo</v>
      </c>
      <c r="BY265" s="1229"/>
      <c r="BZ265" s="1229"/>
      <c r="CA265" s="1229"/>
      <c r="CB265" s="1229"/>
      <c r="CC265" s="1229"/>
      <c r="CD265" s="1229"/>
      <c r="CE265" s="859"/>
      <c r="CF265" s="1229" t="str">
        <f>'2A Electricity regular'!AV197</f>
        <v/>
      </c>
      <c r="CG265" s="1229"/>
      <c r="CH265" s="1229"/>
      <c r="CI265" s="1229"/>
      <c r="CJ265" s="1229"/>
      <c r="CK265" s="1229"/>
      <c r="CL265" s="1229"/>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38">
        <f>'2B Electricity SEER-SEPR'!AN191</f>
        <v>0</v>
      </c>
      <c r="AB266" s="1238"/>
      <c r="AC266" s="1238"/>
      <c r="AD266" s="1238"/>
      <c r="AE266" s="1238"/>
      <c r="AF266" s="73"/>
      <c r="AG266" s="73"/>
      <c r="AH266" s="34" t="str">
        <f>AH265</f>
        <v>Calcolo con il tool del freddo</v>
      </c>
      <c r="AI266" s="34"/>
      <c r="AJ266" s="34"/>
      <c r="AK266" s="34"/>
      <c r="AL266" s="34"/>
      <c r="AM266" s="34"/>
      <c r="AN266" s="34"/>
      <c r="AO266" s="73"/>
      <c r="AP266" s="73"/>
      <c r="AQ266" s="73"/>
      <c r="AR266" s="73"/>
      <c r="AS266" s="73"/>
      <c r="AT266" s="73"/>
      <c r="AU266" s="1210" t="str">
        <f>'2B Electricity SEER-SEPR'!X147</f>
        <v/>
      </c>
      <c r="AV266" s="1210"/>
      <c r="AW266" s="1210"/>
      <c r="AX266" s="1210"/>
      <c r="AY266" s="1210"/>
      <c r="AZ266" s="1210"/>
      <c r="BA266" s="1210"/>
      <c r="BB266" s="1210"/>
      <c r="BC266" s="1210"/>
      <c r="BD266" s="1210"/>
      <c r="BE266" s="1210"/>
      <c r="BR266" s="1228">
        <f>'2B Electricity SEER-SEPR'!BL198</f>
        <v>0</v>
      </c>
      <c r="BS266" s="1228"/>
      <c r="BT266" s="1228"/>
      <c r="BU266" s="1228"/>
      <c r="BV266" s="1228"/>
      <c r="BW266" s="894"/>
      <c r="BX266" s="1229" t="str">
        <f>AH266</f>
        <v>Calcolo con il tool del freddo</v>
      </c>
      <c r="BY266" s="1229"/>
      <c r="BZ266" s="1229"/>
      <c r="CA266" s="1229"/>
      <c r="CB266" s="1229"/>
      <c r="CC266" s="1229"/>
      <c r="CD266" s="1229"/>
      <c r="CE266" s="859"/>
      <c r="CF266" s="894" t="str">
        <f>'2B Electricity SEER-SEPR'!AV147</f>
        <v/>
      </c>
      <c r="CG266" s="894"/>
      <c r="CH266" s="894"/>
      <c r="CI266" s="894"/>
      <c r="CJ266" s="894"/>
      <c r="CK266" s="894"/>
      <c r="CL266" s="894"/>
      <c r="DA266" s="63" t="s">
        <v>939</v>
      </c>
    </row>
    <row r="267" spans="2:270" ht="17" hidden="1" customHeight="1" outlineLevel="1" x14ac:dyDescent="0.15">
      <c r="L267" s="1227" t="str">
        <f>IF($AP$108=$L$225,L264,IF($L$203=$AK$194,L265,IF($L$203=$AC$194,L266,"")))</f>
        <v/>
      </c>
      <c r="M267" s="1227"/>
      <c r="N267" s="1227"/>
      <c r="O267" s="1227"/>
      <c r="P267" s="1227"/>
      <c r="Q267" s="1227"/>
      <c r="R267" s="1227"/>
      <c r="S267" s="68"/>
      <c r="T267" s="68"/>
      <c r="U267" s="68"/>
      <c r="V267" s="68"/>
      <c r="W267" s="68" t="s">
        <v>20</v>
      </c>
      <c r="X267" s="68"/>
      <c r="Y267" s="68"/>
      <c r="Z267" s="68"/>
      <c r="AA267" s="1226">
        <f>IF($AE$249=1,AA264,IF($AE$250=1,AA265,IF($AE$251=1,AA266,0)))</f>
        <v>0</v>
      </c>
      <c r="AB267" s="1226"/>
      <c r="AC267" s="1226"/>
      <c r="AD267" s="1226"/>
      <c r="AE267" s="1226"/>
      <c r="AF267" s="567"/>
      <c r="AG267" s="567"/>
      <c r="AH267" s="68" t="str">
        <f>IF($AE$249=1,AH264,IF($AE$250=1,AH265,IF($AE$251=1,AH266,0)))</f>
        <v>Calcolo con il tool del freddo</v>
      </c>
      <c r="AI267" s="68"/>
      <c r="AJ267" s="68"/>
      <c r="AK267" s="68"/>
      <c r="AL267" s="68"/>
      <c r="AM267" s="68"/>
      <c r="AN267" s="68"/>
      <c r="AO267" s="567"/>
      <c r="AP267" s="567"/>
      <c r="AQ267" s="567"/>
      <c r="AR267" s="567"/>
      <c r="AS267" s="567"/>
      <c r="AT267" s="567"/>
      <c r="AU267" s="1227" t="str">
        <f>IF($AP$108=$L$225,AU264,IF($L$203=$AK$194,AU265,IF($L$203=$AC$194,AU266,"")))</f>
        <v/>
      </c>
      <c r="AV267" s="1227"/>
      <c r="AW267" s="1227"/>
      <c r="AX267" s="1227"/>
      <c r="AY267" s="1227"/>
      <c r="AZ267" s="1227"/>
      <c r="BA267" s="1227"/>
      <c r="BB267" s="1227"/>
      <c r="BC267" s="1227"/>
      <c r="BD267" s="1227"/>
      <c r="BE267" s="1227"/>
      <c r="BR267" s="1228">
        <f>IF($AE$249=1,BR264,IF($AE$250=1,BR265,IF($AE$251=1,BR266,0)))</f>
        <v>0</v>
      </c>
      <c r="BS267" s="1228"/>
      <c r="BT267" s="1228"/>
      <c r="BU267" s="1228"/>
      <c r="BV267" s="1228"/>
      <c r="BW267" s="894"/>
      <c r="BX267" s="1229" t="str">
        <f>IF($AE$249=1,BX264,IF($AE$250=1,BX265,IF($AE$251=1,BX266,0)))</f>
        <v>Calcolo con il tool del freddo</v>
      </c>
      <c r="BY267" s="1229"/>
      <c r="BZ267" s="1229"/>
      <c r="CA267" s="1229"/>
      <c r="CB267" s="1229"/>
      <c r="CC267" s="1229"/>
      <c r="CD267" s="1229"/>
      <c r="CE267" s="859"/>
      <c r="CF267" s="1229" t="str">
        <f>IF($AP$108=$L$225,CF264,IF($L$203=$AK$194,CF265,IF($L$203=$AC$194,CF266,"")))</f>
        <v/>
      </c>
      <c r="CG267" s="1229"/>
      <c r="CH267" s="1229"/>
      <c r="CI267" s="1229"/>
      <c r="CJ267" s="1229"/>
      <c r="CK267" s="1229"/>
      <c r="CL267" s="1229"/>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Inserimento manuale</v>
      </c>
      <c r="M271" s="34"/>
      <c r="N271" s="34"/>
      <c r="O271" s="34"/>
      <c r="P271" s="34"/>
      <c r="Q271" s="34"/>
      <c r="R271" s="34"/>
      <c r="S271" s="34"/>
      <c r="T271" s="34"/>
      <c r="U271" s="34"/>
      <c r="V271" s="34"/>
      <c r="W271" s="34" t="s">
        <v>83</v>
      </c>
      <c r="X271" s="34"/>
      <c r="Y271" s="34"/>
      <c r="Z271" s="34"/>
      <c r="AA271" s="1238">
        <v>0</v>
      </c>
      <c r="AB271" s="1238"/>
      <c r="AC271" s="1238"/>
      <c r="AD271" s="1238"/>
      <c r="AE271" s="1238"/>
      <c r="AF271" s="73"/>
      <c r="AH271" s="1208">
        <v>0</v>
      </c>
      <c r="AI271" s="1208"/>
      <c r="AJ271" s="1208"/>
      <c r="AK271" s="1208"/>
      <c r="AL271" s="1208"/>
      <c r="AM271" s="1208"/>
      <c r="AN271" s="1208"/>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28">
        <v>0</v>
      </c>
      <c r="BS271" s="1228"/>
      <c r="BT271" s="1228"/>
      <c r="BU271" s="1228"/>
      <c r="BV271" s="1228"/>
      <c r="BW271" s="894"/>
      <c r="BX271" s="1229">
        <v>0</v>
      </c>
      <c r="BY271" s="1229"/>
      <c r="BZ271" s="1229"/>
      <c r="CA271" s="1229"/>
      <c r="CB271" s="1229"/>
      <c r="CC271" s="1229"/>
      <c r="CD271" s="1229"/>
      <c r="CE271" s="859"/>
      <c r="CF271" s="1229"/>
      <c r="CG271" s="1229"/>
      <c r="CH271" s="1229"/>
      <c r="CI271" s="1229"/>
      <c r="CJ271" s="1229"/>
      <c r="CK271" s="1229"/>
      <c r="CL271" s="1229"/>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38">
        <f>'2A Electricity regular'!X38</f>
        <v>0</v>
      </c>
      <c r="AB272" s="1238"/>
      <c r="AC272" s="1238"/>
      <c r="AD272" s="1238"/>
      <c r="AE272" s="1238"/>
      <c r="AF272" s="73"/>
      <c r="AH272" s="1209">
        <f>'2A Electricity regular'!AN335</f>
        <v>0</v>
      </c>
      <c r="AI272" s="1209"/>
      <c r="AJ272" s="1209"/>
      <c r="AK272" s="1209"/>
      <c r="AL272" s="1209"/>
      <c r="AM272" s="1209"/>
      <c r="AN272" s="1209"/>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28">
        <f>AA272</f>
        <v>0</v>
      </c>
      <c r="BS272" s="1228"/>
      <c r="BT272" s="1228"/>
      <c r="BU272" s="1228"/>
      <c r="BV272" s="1228"/>
      <c r="BW272" s="894"/>
      <c r="BX272" s="1243">
        <f>'2A Electricity regular'!BL335</f>
        <v>0</v>
      </c>
      <c r="BY272" s="1243"/>
      <c r="BZ272" s="1243"/>
      <c r="CA272" s="1243"/>
      <c r="CB272" s="1243"/>
      <c r="CC272" s="1243"/>
      <c r="CD272" s="1243"/>
      <c r="CE272" s="859"/>
      <c r="CF272" s="1229"/>
      <c r="CG272" s="1229"/>
      <c r="CH272" s="1229"/>
      <c r="CI272" s="1229"/>
      <c r="CJ272" s="1229"/>
      <c r="CK272" s="1229"/>
      <c r="CL272" s="1229"/>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38">
        <f>'2B Electricity SEER-SEPR'!X43</f>
        <v>0</v>
      </c>
      <c r="AB273" s="1238"/>
      <c r="AC273" s="1238"/>
      <c r="AD273" s="1238"/>
      <c r="AE273" s="1238"/>
      <c r="AF273" s="73"/>
      <c r="AH273" s="1210">
        <f>'2B Electricity SEER-SEPR'!X73</f>
        <v>0</v>
      </c>
      <c r="AI273" s="1210"/>
      <c r="AJ273" s="1210"/>
      <c r="AK273" s="1210"/>
      <c r="AL273" s="1210"/>
      <c r="AM273" s="1210"/>
      <c r="AN273" s="1210"/>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28">
        <f>AA273</f>
        <v>0</v>
      </c>
      <c r="BS273" s="1228"/>
      <c r="BT273" s="1228"/>
      <c r="BU273" s="1228"/>
      <c r="BV273" s="1228"/>
      <c r="BW273" s="894"/>
      <c r="BX273" s="1229">
        <f>'2B Electricity SEER-SEPR'!AV73</f>
        <v>0</v>
      </c>
      <c r="BY273" s="1229"/>
      <c r="BZ273" s="1229"/>
      <c r="CA273" s="1229"/>
      <c r="CB273" s="1229"/>
      <c r="CC273" s="1229"/>
      <c r="CD273" s="1229"/>
      <c r="CE273" s="859"/>
      <c r="CF273" s="894"/>
      <c r="CG273" s="894"/>
      <c r="CH273" s="894"/>
      <c r="CI273" s="894"/>
      <c r="CJ273" s="894"/>
      <c r="CK273" s="894"/>
      <c r="CL273" s="894"/>
    </row>
    <row r="274" spans="2:270" ht="17" hidden="1" customHeight="1" outlineLevel="1" x14ac:dyDescent="0.15">
      <c r="L274" s="1227"/>
      <c r="M274" s="1227"/>
      <c r="N274" s="1227"/>
      <c r="O274" s="1227"/>
      <c r="P274" s="1227"/>
      <c r="Q274" s="1227"/>
      <c r="R274" s="1227"/>
      <c r="S274" s="68"/>
      <c r="T274" s="68"/>
      <c r="U274" s="68"/>
      <c r="V274" s="68"/>
      <c r="W274" s="68" t="s">
        <v>20</v>
      </c>
      <c r="X274" s="68"/>
      <c r="Y274" s="68"/>
      <c r="Z274" s="68"/>
      <c r="AA274" s="1226">
        <f>IF($AE$249=1,AA271,IF($AE$250=1,AA272,IF($AE$251=1,AA273,0)))</f>
        <v>0</v>
      </c>
      <c r="AB274" s="1226"/>
      <c r="AC274" s="1226"/>
      <c r="AD274" s="1226"/>
      <c r="AE274" s="1226"/>
      <c r="AF274" s="567"/>
      <c r="AH274" s="1240">
        <f>IF($AE$249=1,AH271,IF($AE$250=1,AH272,IF($AE$251=1,AH273,0)))</f>
        <v>0</v>
      </c>
      <c r="AI274" s="1240"/>
      <c r="AJ274" s="1240"/>
      <c r="AK274" s="1240"/>
      <c r="AL274" s="1240"/>
      <c r="AM274" s="1240"/>
      <c r="AN274" s="1240"/>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28">
        <f>IF($AE$249=1,BR271,IF($AE$250=1,BR272,IF($AE$251=1,BR273,0)))</f>
        <v>0</v>
      </c>
      <c r="BS274" s="1228"/>
      <c r="BT274" s="1228"/>
      <c r="BU274" s="1228"/>
      <c r="BV274" s="1228"/>
      <c r="BW274" s="894"/>
      <c r="BX274" s="1243">
        <f>IF($AE$249=1,BX271,IF($AE$250=1,BX272,IF($AE$251=1,BX273,0)))</f>
        <v>0</v>
      </c>
      <c r="BY274" s="1243"/>
      <c r="BZ274" s="1243"/>
      <c r="CA274" s="1243"/>
      <c r="CB274" s="1243"/>
      <c r="CC274" s="1243"/>
      <c r="CD274" s="1243"/>
      <c r="CE274" s="859"/>
      <c r="CF274" s="1229"/>
      <c r="CG274" s="1229"/>
      <c r="CH274" s="1229"/>
      <c r="CI274" s="1229"/>
      <c r="CJ274" s="1229"/>
      <c r="CK274" s="1229"/>
      <c r="CL274" s="1229"/>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Inserimento manuale</v>
      </c>
      <c r="M278" s="34"/>
      <c r="N278" s="34"/>
      <c r="O278" s="34"/>
      <c r="P278" s="34"/>
      <c r="Q278" s="34"/>
      <c r="R278" s="34"/>
      <c r="S278" s="34"/>
      <c r="T278" s="34"/>
      <c r="U278" s="34"/>
      <c r="V278" s="34"/>
      <c r="W278" s="34" t="s">
        <v>20</v>
      </c>
      <c r="X278" s="34"/>
      <c r="Y278" s="34"/>
      <c r="Z278" s="34"/>
      <c r="AA278" s="1208">
        <v>0</v>
      </c>
      <c r="AB278" s="1208"/>
      <c r="AC278" s="1208"/>
      <c r="AD278" s="1208"/>
      <c r="AE278" s="1208"/>
      <c r="AF278" s="1208"/>
      <c r="AG278" s="1208"/>
      <c r="AH278" s="1236">
        <f>'2A Electricity regular'!X293</f>
        <v>0</v>
      </c>
      <c r="AI278" s="1236"/>
      <c r="AJ278" s="1236"/>
      <c r="AK278" s="1236"/>
      <c r="AL278" s="1236"/>
      <c r="AM278" s="1236"/>
      <c r="AN278" s="1236"/>
      <c r="AO278" s="1236">
        <f>'2A Electricity regular'!X299</f>
        <v>0</v>
      </c>
      <c r="AP278" s="1236"/>
      <c r="AQ278" s="1236"/>
      <c r="AR278" s="1236"/>
      <c r="AS278" s="1236"/>
      <c r="AT278" s="1236"/>
      <c r="AU278" s="1236"/>
      <c r="AV278" s="73"/>
      <c r="AW278" s="73"/>
      <c r="AX278" s="73"/>
      <c r="AY278" s="34"/>
      <c r="AZ278" s="73"/>
      <c r="BA278" s="73"/>
      <c r="BB278" s="73"/>
      <c r="BC278" s="73"/>
      <c r="BD278" s="73"/>
      <c r="BE278" s="73"/>
      <c r="BF278" s="73"/>
      <c r="BG278" s="73"/>
      <c r="BH278" s="73"/>
      <c r="BI278" s="73"/>
      <c r="BJ278" s="73"/>
      <c r="BQ278" s="894"/>
      <c r="BR278" s="1229">
        <v>0</v>
      </c>
      <c r="BS278" s="1229"/>
      <c r="BT278" s="1229"/>
      <c r="BU278" s="1229"/>
      <c r="BV278" s="1229"/>
      <c r="BW278" s="1229"/>
      <c r="BX278" s="1229"/>
      <c r="BY278" s="1241">
        <f>'2A Electricity regular'!BO293</f>
        <v>0</v>
      </c>
      <c r="BZ278" s="1241"/>
      <c r="CA278" s="1241"/>
      <c r="CB278" s="1241"/>
      <c r="CC278" s="1241"/>
      <c r="CD278" s="1241"/>
      <c r="CE278" s="1241"/>
      <c r="CF278" s="1241">
        <f>'2A Electricity regular'!BO299</f>
        <v>0</v>
      </c>
      <c r="CG278" s="1241"/>
      <c r="CH278" s="1241"/>
      <c r="CI278" s="1241"/>
      <c r="CJ278" s="1241"/>
      <c r="CK278" s="1241"/>
      <c r="CL278" s="1241"/>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36">
        <f>'2A Electricity regular'!X286</f>
        <v>0</v>
      </c>
      <c r="AB279" s="1236"/>
      <c r="AC279" s="1236"/>
      <c r="AD279" s="1236"/>
      <c r="AE279" s="1236"/>
      <c r="AF279" s="1236"/>
      <c r="AG279" s="1236"/>
      <c r="AH279" s="1236" t="str">
        <f>'2A Electricity regular'!X294</f>
        <v>--</v>
      </c>
      <c r="AI279" s="1236"/>
      <c r="AJ279" s="1236"/>
      <c r="AK279" s="1236"/>
      <c r="AL279" s="1236"/>
      <c r="AM279" s="1236"/>
      <c r="AN279" s="1236"/>
      <c r="AO279" s="1236">
        <f>'2A Electricity regular'!X300</f>
        <v>0</v>
      </c>
      <c r="AP279" s="1236"/>
      <c r="AQ279" s="1236"/>
      <c r="AR279" s="1236"/>
      <c r="AS279" s="1236"/>
      <c r="AT279" s="1236"/>
      <c r="AU279" s="1236"/>
      <c r="AV279" s="612"/>
      <c r="AW279" s="612"/>
      <c r="AX279" s="612"/>
      <c r="AY279" s="34"/>
      <c r="AZ279" s="34"/>
      <c r="BA279" s="34"/>
      <c r="BB279" s="34"/>
      <c r="BC279" s="34"/>
      <c r="BD279" s="34"/>
      <c r="BE279" s="34"/>
      <c r="BF279" s="34"/>
      <c r="BG279" s="34"/>
      <c r="BH279" s="34"/>
      <c r="BI279" s="34"/>
      <c r="BJ279" s="34"/>
      <c r="BQ279" s="894"/>
      <c r="BR279" s="1256">
        <f>'2A Electricity regular'!AV286</f>
        <v>0</v>
      </c>
      <c r="BS279" s="1256"/>
      <c r="BT279" s="1256"/>
      <c r="BU279" s="1256"/>
      <c r="BV279" s="1256"/>
      <c r="BW279" s="1256"/>
      <c r="BX279" s="1256"/>
      <c r="BY279" s="1256" t="str">
        <f>'2A Electricity regular'!AV294</f>
        <v>--</v>
      </c>
      <c r="BZ279" s="1256"/>
      <c r="CA279" s="1256"/>
      <c r="CB279" s="1256"/>
      <c r="CC279" s="1256"/>
      <c r="CD279" s="1256"/>
      <c r="CE279" s="1256"/>
      <c r="CF279" s="1256">
        <f>'2A Electricity regular'!AV300</f>
        <v>0</v>
      </c>
      <c r="CG279" s="1256"/>
      <c r="CH279" s="1256"/>
      <c r="CI279" s="1256"/>
      <c r="CJ279" s="1256"/>
      <c r="CK279" s="1256"/>
      <c r="CL279" s="1256"/>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36">
        <f>'2B Electricity SEER-SEPR'!AN200</f>
        <v>0</v>
      </c>
      <c r="AB280" s="1236"/>
      <c r="AC280" s="1236"/>
      <c r="AD280" s="1236"/>
      <c r="AE280" s="1236"/>
      <c r="AF280" s="1236"/>
      <c r="AG280" s="1236"/>
      <c r="AH280" s="1236">
        <f>'2B Electricity SEER-SEPR'!AU200</f>
        <v>0</v>
      </c>
      <c r="AI280" s="1236"/>
      <c r="AJ280" s="1236"/>
      <c r="AK280" s="1236"/>
      <c r="AL280" s="1236"/>
      <c r="AM280" s="1236"/>
      <c r="AN280" s="1236"/>
      <c r="AO280" s="1236">
        <f>AA280</f>
        <v>0</v>
      </c>
      <c r="AP280" s="1236"/>
      <c r="AQ280" s="1236"/>
      <c r="AR280" s="1236"/>
      <c r="AS280" s="1236"/>
      <c r="AT280" s="1236"/>
      <c r="AU280" s="1236"/>
      <c r="AV280" s="612"/>
      <c r="AW280" s="612"/>
      <c r="AX280" s="612"/>
      <c r="AY280" s="34"/>
      <c r="AZ280" s="66"/>
      <c r="BA280" s="66"/>
      <c r="BB280" s="66"/>
      <c r="BC280" s="66"/>
      <c r="BD280" s="66"/>
      <c r="BE280" s="66"/>
      <c r="BF280" s="66"/>
      <c r="BG280" s="66"/>
      <c r="BH280" s="66"/>
      <c r="BI280" s="66"/>
      <c r="BJ280" s="66"/>
      <c r="BQ280" s="894"/>
      <c r="BR280" s="1256">
        <f>'2B Electricity SEER-SEPR'!BL200</f>
        <v>0</v>
      </c>
      <c r="BS280" s="1256"/>
      <c r="BT280" s="1256"/>
      <c r="BU280" s="1256"/>
      <c r="BV280" s="1256"/>
      <c r="BW280" s="1256"/>
      <c r="BX280" s="1256"/>
      <c r="BY280" s="1256">
        <f>'2B Electricity SEER-SEPR'!CL200</f>
        <v>0</v>
      </c>
      <c r="BZ280" s="1256"/>
      <c r="CA280" s="1256"/>
      <c r="CB280" s="1256"/>
      <c r="CC280" s="1256"/>
      <c r="CD280" s="1256"/>
      <c r="CE280" s="1256"/>
      <c r="CF280" s="1256">
        <f>BR280</f>
        <v>0</v>
      </c>
      <c r="CG280" s="1256"/>
      <c r="CH280" s="1256"/>
      <c r="CI280" s="1256"/>
      <c r="CJ280" s="1256"/>
      <c r="CK280" s="1256"/>
      <c r="CL280" s="1256"/>
    </row>
    <row r="281" spans="2:270" ht="17" hidden="1" customHeight="1" outlineLevel="1" x14ac:dyDescent="0.15">
      <c r="L281" s="1227"/>
      <c r="M281" s="1227"/>
      <c r="N281" s="1227"/>
      <c r="O281" s="1227"/>
      <c r="P281" s="1227"/>
      <c r="Q281" s="1227"/>
      <c r="R281" s="1227"/>
      <c r="S281" s="68"/>
      <c r="T281" s="68"/>
      <c r="U281" s="68"/>
      <c r="V281" s="68"/>
      <c r="W281" s="68" t="s">
        <v>20</v>
      </c>
      <c r="X281" s="68"/>
      <c r="Y281" s="68"/>
      <c r="Z281" s="68"/>
      <c r="AA281" s="1235">
        <f>IF($AE$249=1,AA278,IF($AE$250=1,AA279,IF($AE$251=1,AA280,0)))</f>
        <v>0</v>
      </c>
      <c r="AB281" s="1235"/>
      <c r="AC281" s="1235"/>
      <c r="AD281" s="1235"/>
      <c r="AE281" s="1235"/>
      <c r="AF281" s="1235"/>
      <c r="AG281" s="1235"/>
      <c r="AH281" s="1235" t="str">
        <f>IF($AE$249=1,AH278,IF($AE$250=1,AH279,IF($AE$251=1,AH280,0)))</f>
        <v>--</v>
      </c>
      <c r="AI281" s="1235"/>
      <c r="AJ281" s="1235"/>
      <c r="AK281" s="1235"/>
      <c r="AL281" s="1235"/>
      <c r="AM281" s="1235"/>
      <c r="AN281" s="1235"/>
      <c r="AO281" s="1235">
        <f>IF($AE$249=1,AO278,IF($AE$250=1,AO279,IF($AE$251=1,AO280,0)))</f>
        <v>0</v>
      </c>
      <c r="AP281" s="1235"/>
      <c r="AQ281" s="1235"/>
      <c r="AR281" s="1235"/>
      <c r="AS281" s="1235"/>
      <c r="AT281" s="1235"/>
      <c r="AU281" s="1235"/>
      <c r="AV281" s="567"/>
      <c r="AW281" s="567"/>
      <c r="AX281" s="567"/>
      <c r="AY281" s="68"/>
      <c r="AZ281" s="68"/>
      <c r="BA281" s="68"/>
      <c r="BB281" s="68"/>
      <c r="BC281" s="68"/>
      <c r="BD281" s="68"/>
      <c r="BE281" s="68"/>
      <c r="BF281" s="68"/>
      <c r="BG281" s="68"/>
      <c r="BH281" s="68"/>
      <c r="BI281" s="68"/>
      <c r="BJ281" s="68"/>
      <c r="BQ281" s="894"/>
      <c r="BR281" s="1256">
        <f>IF($AE$249=1,BR278,IF($AE$250=1,BR279,IF($AE$251=1,BR280,0)))</f>
        <v>0</v>
      </c>
      <c r="BS281" s="1256"/>
      <c r="BT281" s="1256"/>
      <c r="BU281" s="1256"/>
      <c r="BV281" s="1256"/>
      <c r="BW281" s="1256"/>
      <c r="BX281" s="1256"/>
      <c r="BY281" s="1256" t="str">
        <f>IF($AE$249=1,BY278,IF($AE$250=1,BY279,IF($AE$251=1,BY280,0)))</f>
        <v>--</v>
      </c>
      <c r="BZ281" s="1256"/>
      <c r="CA281" s="1256"/>
      <c r="CB281" s="1256"/>
      <c r="CC281" s="1256"/>
      <c r="CD281" s="1256"/>
      <c r="CE281" s="1256"/>
      <c r="CF281" s="1256">
        <f>IF($AE$249=1,CF278,IF($AE$250=1,CF279,IF($AE$251=1,CF280,0)))</f>
        <v>0</v>
      </c>
      <c r="CG281" s="1256"/>
      <c r="CH281" s="1256"/>
      <c r="CI281" s="1256"/>
      <c r="CJ281" s="1256"/>
      <c r="CK281" s="1256"/>
      <c r="CL281" s="1256"/>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Inserimento manuale</v>
      </c>
      <c r="M285" s="34"/>
      <c r="N285" s="34"/>
      <c r="O285" s="34"/>
      <c r="P285" s="34"/>
      <c r="Q285" s="34"/>
      <c r="R285" s="34"/>
      <c r="S285" s="34"/>
      <c r="T285" s="34"/>
      <c r="U285" s="34"/>
      <c r="V285" s="34"/>
      <c r="W285" s="34" t="s">
        <v>20</v>
      </c>
      <c r="X285" s="34"/>
      <c r="Y285" s="34"/>
      <c r="Z285" s="34"/>
      <c r="AA285" s="1238">
        <f>AP133</f>
        <v>0</v>
      </c>
      <c r="AB285" s="1238"/>
      <c r="AC285" s="1238"/>
      <c r="AD285" s="1238"/>
      <c r="AE285" s="1238"/>
      <c r="AF285" s="613"/>
      <c r="AG285" s="613"/>
      <c r="AH285" s="1238">
        <v>0</v>
      </c>
      <c r="AI285" s="1238"/>
      <c r="AJ285" s="1238"/>
      <c r="AK285" s="1238"/>
      <c r="AL285" s="1238"/>
      <c r="AM285" s="1238"/>
      <c r="AN285" s="1238"/>
      <c r="AO285" s="1238">
        <v>0</v>
      </c>
      <c r="AP285" s="1238"/>
      <c r="AQ285" s="1238"/>
      <c r="AR285" s="1238"/>
      <c r="AS285" s="1238"/>
      <c r="AT285" s="1238"/>
      <c r="AU285" s="1238"/>
      <c r="AV285" s="612"/>
      <c r="AW285" s="612"/>
      <c r="AX285" s="612"/>
      <c r="AY285" s="612"/>
      <c r="AZ285" s="612"/>
      <c r="BA285" s="612"/>
      <c r="BB285" s="73"/>
      <c r="BC285" s="73"/>
      <c r="BD285" s="73"/>
      <c r="BE285" s="34"/>
      <c r="BF285" s="1208"/>
      <c r="BG285" s="1208"/>
      <c r="BH285" s="1208"/>
      <c r="BI285" s="1208"/>
      <c r="BJ285" s="1208"/>
      <c r="BK285" s="1208"/>
      <c r="BL285" s="1208"/>
      <c r="BM285" s="1208"/>
      <c r="BN285" s="1208"/>
      <c r="BO285" s="1208"/>
      <c r="BP285" s="1208"/>
      <c r="BR285" s="1228">
        <f>AA285</f>
        <v>0</v>
      </c>
      <c r="BS285" s="1228"/>
      <c r="BT285" s="1228"/>
      <c r="BU285" s="1228"/>
      <c r="BV285" s="1228"/>
      <c r="BW285" s="896"/>
      <c r="BX285" s="1228">
        <v>0</v>
      </c>
      <c r="BY285" s="1228"/>
      <c r="BZ285" s="1228"/>
      <c r="CA285" s="1228"/>
      <c r="CB285" s="1228"/>
      <c r="CC285" s="1228"/>
      <c r="CD285" s="1228"/>
      <c r="CE285" s="1228">
        <v>0</v>
      </c>
      <c r="CF285" s="1228"/>
      <c r="CG285" s="1228"/>
      <c r="CH285" s="1228"/>
      <c r="CI285" s="1228"/>
      <c r="CJ285" s="1228"/>
      <c r="CK285" s="1228"/>
      <c r="CL285" s="1241"/>
      <c r="CM285" s="1241"/>
      <c r="CN285" s="1241"/>
      <c r="CO285" s="1241"/>
      <c r="CP285" s="1241"/>
      <c r="CQ285" s="1241"/>
      <c r="CR285" s="1241"/>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38">
        <f>'2A Electricity regular'!AM409</f>
        <v>0</v>
      </c>
      <c r="AB286" s="1238"/>
      <c r="AC286" s="1238"/>
      <c r="AD286" s="1238"/>
      <c r="AE286" s="1238"/>
      <c r="AF286" s="613"/>
      <c r="AG286" s="613"/>
      <c r="AH286" s="1239">
        <f>AA286-AO286</f>
        <v>0</v>
      </c>
      <c r="AI286" s="1239"/>
      <c r="AJ286" s="1239"/>
      <c r="AK286" s="1239"/>
      <c r="AL286" s="1239"/>
      <c r="AM286" s="1239"/>
      <c r="AN286" s="1239"/>
      <c r="AO286" s="1239">
        <f>'2A Electricity regular'!W281</f>
        <v>0</v>
      </c>
      <c r="AP286" s="1239"/>
      <c r="AQ286" s="1239"/>
      <c r="AR286" s="1239"/>
      <c r="AS286" s="1239"/>
      <c r="AT286" s="1239"/>
      <c r="AU286" s="1239"/>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28">
        <f>'2A Electricity regular'!BK409</f>
        <v>0</v>
      </c>
      <c r="BS286" s="1228"/>
      <c r="BT286" s="1228"/>
      <c r="BU286" s="1228"/>
      <c r="BV286" s="1228"/>
      <c r="BW286" s="896"/>
      <c r="BX286" s="1228">
        <f>BR286-CE286</f>
        <v>0</v>
      </c>
      <c r="BY286" s="1228"/>
      <c r="BZ286" s="1228"/>
      <c r="CA286" s="1228"/>
      <c r="CB286" s="1228"/>
      <c r="CC286" s="1228"/>
      <c r="CD286" s="1228"/>
      <c r="CE286" s="1228">
        <f>'2A Electricity regular'!AU281</f>
        <v>0</v>
      </c>
      <c r="CF286" s="1228"/>
      <c r="CG286" s="1228"/>
      <c r="CH286" s="1228"/>
      <c r="CI286" s="1228"/>
      <c r="CJ286" s="1228"/>
      <c r="CK286" s="1228"/>
      <c r="CL286" s="1241"/>
      <c r="CM286" s="1241"/>
      <c r="CN286" s="1241"/>
      <c r="CO286" s="1241"/>
      <c r="CP286" s="1241"/>
      <c r="CQ286" s="1241"/>
      <c r="CR286" s="1241"/>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38">
        <f>'2B Electricity SEER-SEPR'!AN194</f>
        <v>0</v>
      </c>
      <c r="AB287" s="1238"/>
      <c r="AC287" s="1238"/>
      <c r="AD287" s="1238"/>
      <c r="AE287" s="1238"/>
      <c r="AF287" s="613"/>
      <c r="AG287" s="613"/>
      <c r="AH287" s="1239">
        <f>'2B Electricity SEER-SEPR'!AN195</f>
        <v>0</v>
      </c>
      <c r="AI287" s="1239"/>
      <c r="AJ287" s="1239"/>
      <c r="AK287" s="1239"/>
      <c r="AL287" s="1239"/>
      <c r="AM287" s="1239"/>
      <c r="AN287" s="1239"/>
      <c r="AO287" s="1239">
        <f>'2B Electricity SEER-SEPR'!AN196</f>
        <v>0</v>
      </c>
      <c r="AP287" s="1239"/>
      <c r="AQ287" s="1239"/>
      <c r="AR287" s="1239"/>
      <c r="AS287" s="1239"/>
      <c r="AT287" s="1239"/>
      <c r="AU287" s="1239"/>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28">
        <f>'2B Electricity SEER-SEPR'!BL277</f>
        <v>0</v>
      </c>
      <c r="BS287" s="1228"/>
      <c r="BT287" s="1228"/>
      <c r="BU287" s="1228"/>
      <c r="BV287" s="1228"/>
      <c r="BW287" s="896"/>
      <c r="BX287" s="1228">
        <f>'2B Electricity SEER-SEPR'!BL279</f>
        <v>0</v>
      </c>
      <c r="BY287" s="1228"/>
      <c r="BZ287" s="1228"/>
      <c r="CA287" s="1228"/>
      <c r="CB287" s="1228"/>
      <c r="CC287" s="1228"/>
      <c r="CD287" s="1228"/>
      <c r="CE287" s="1228">
        <f>'2B Electricity SEER-SEPR'!BL280</f>
        <v>0</v>
      </c>
      <c r="CF287" s="1228"/>
      <c r="CG287" s="1228"/>
      <c r="CH287" s="1228"/>
      <c r="CI287" s="1228"/>
      <c r="CJ287" s="1228"/>
      <c r="CK287" s="1228"/>
      <c r="CL287" s="1241"/>
      <c r="CM287" s="1241"/>
      <c r="CN287" s="1241"/>
      <c r="CO287" s="1241"/>
      <c r="CP287" s="1241"/>
      <c r="CQ287" s="1241"/>
      <c r="CR287" s="1241"/>
    </row>
    <row r="288" spans="2:270" ht="17" hidden="1" customHeight="1" outlineLevel="1" x14ac:dyDescent="0.15">
      <c r="L288" s="1227"/>
      <c r="M288" s="1227"/>
      <c r="N288" s="1227"/>
      <c r="O288" s="1227"/>
      <c r="P288" s="1227"/>
      <c r="Q288" s="1227"/>
      <c r="R288" s="1227"/>
      <c r="S288" s="68"/>
      <c r="T288" s="68"/>
      <c r="U288" s="68"/>
      <c r="V288" s="68"/>
      <c r="W288" s="68" t="s">
        <v>20</v>
      </c>
      <c r="X288" s="68"/>
      <c r="Y288" s="68"/>
      <c r="Z288" s="68"/>
      <c r="AA288" s="1226">
        <f>IF($AE$249=1,AA285,IF($AE$250=1,AA286,IF($AE$251=1,AA287,0)))</f>
        <v>0</v>
      </c>
      <c r="AB288" s="1226"/>
      <c r="AC288" s="1226"/>
      <c r="AD288" s="1226"/>
      <c r="AE288" s="1226"/>
      <c r="AF288" s="614"/>
      <c r="AG288" s="614"/>
      <c r="AH288" s="1237">
        <f>IF($AE$249=1,AH285,IF($AE$250=1,AH286,IF($AE$251=1,AH287,0)))</f>
        <v>0</v>
      </c>
      <c r="AI288" s="1237"/>
      <c r="AJ288" s="1237"/>
      <c r="AK288" s="1237"/>
      <c r="AL288" s="1237"/>
      <c r="AM288" s="1237"/>
      <c r="AN288" s="1237"/>
      <c r="AO288" s="1237">
        <f>IF($AE$249=1,AO285,IF($AE$250=1,AO286,IF($AE$251=1,AO287,0)))</f>
        <v>0</v>
      </c>
      <c r="AP288" s="1237"/>
      <c r="AQ288" s="1237"/>
      <c r="AR288" s="1237"/>
      <c r="AS288" s="1237"/>
      <c r="AT288" s="1237"/>
      <c r="AU288" s="1237"/>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28">
        <f>IF($AE$249=1,BR285,IF($AE$250=1,BR286,IF($AE$251=1,BR287,0)))</f>
        <v>0</v>
      </c>
      <c r="BS288" s="1228"/>
      <c r="BT288" s="1228"/>
      <c r="BU288" s="1228"/>
      <c r="BV288" s="1228"/>
      <c r="BW288" s="896"/>
      <c r="BX288" s="1228">
        <f>IF($AE$249=1,BX285,IF($AE$250=1,BX286,IF($AE$251=1,BX287,0)))</f>
        <v>0</v>
      </c>
      <c r="BY288" s="1228"/>
      <c r="BZ288" s="1228"/>
      <c r="CA288" s="1228"/>
      <c r="CB288" s="1228"/>
      <c r="CC288" s="1228"/>
      <c r="CD288" s="1228"/>
      <c r="CE288" s="1228">
        <f>IF($AE$249=1,CE285,IF($AE$250=1,CE286,IF($AE$251=1,CE287,0)))</f>
        <v>0</v>
      </c>
      <c r="CF288" s="1228"/>
      <c r="CG288" s="1228"/>
      <c r="CH288" s="1228"/>
      <c r="CI288" s="1228"/>
      <c r="CJ288" s="1228"/>
      <c r="CK288" s="1228"/>
      <c r="CL288" s="1241"/>
      <c r="CM288" s="1241"/>
      <c r="CN288" s="1241"/>
      <c r="CO288" s="1241"/>
      <c r="CP288" s="1241"/>
      <c r="CQ288" s="1241"/>
      <c r="CR288" s="1241"/>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38">
        <f>'3 TEWI'!Z31</f>
        <v>0</v>
      </c>
      <c r="AB292" s="1238"/>
      <c r="AC292" s="1238"/>
      <c r="AD292" s="1238"/>
      <c r="AE292" s="1238"/>
      <c r="AF292" s="73"/>
      <c r="AG292" s="1208"/>
      <c r="AH292" s="1208"/>
      <c r="AI292" s="1208"/>
      <c r="AJ292" s="1208"/>
      <c r="AK292" s="1208"/>
      <c r="AL292" s="1208"/>
      <c r="AM292" s="1208"/>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28">
        <f>'3 TEWI'!AS31</f>
        <v>0</v>
      </c>
      <c r="BS292" s="1228"/>
      <c r="BT292" s="1228"/>
      <c r="BU292" s="1228"/>
      <c r="BV292" s="1228"/>
      <c r="BW292" s="894"/>
      <c r="BX292" s="1229"/>
      <c r="BY292" s="1229"/>
      <c r="BZ292" s="1229"/>
      <c r="CA292" s="1229"/>
      <c r="CB292" s="1229"/>
      <c r="CC292" s="1229"/>
      <c r="CD292" s="1229"/>
      <c r="CE292" s="859"/>
      <c r="CF292" s="1229"/>
      <c r="CG292" s="1229"/>
      <c r="CH292" s="1229"/>
      <c r="CI292" s="1229"/>
      <c r="CJ292" s="1229"/>
      <c r="CK292" s="1229"/>
      <c r="CL292" s="1229"/>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38">
        <f>'2A Electricity regular'!X65</f>
        <v>0</v>
      </c>
      <c r="AB293" s="1238"/>
      <c r="AC293" s="1238"/>
      <c r="AD293" s="1238"/>
      <c r="AE293" s="1238"/>
      <c r="AF293" s="73"/>
      <c r="AG293" s="1255"/>
      <c r="AH293" s="1255"/>
      <c r="AI293" s="1255"/>
      <c r="AJ293" s="1255"/>
      <c r="AK293" s="1255"/>
      <c r="AL293" s="1255"/>
      <c r="AM293" s="1255"/>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28">
        <f>'2A Electricity regular'!AV65</f>
        <v>0</v>
      </c>
      <c r="BS293" s="1228"/>
      <c r="BT293" s="1228"/>
      <c r="BU293" s="1228"/>
      <c r="BV293" s="1228"/>
      <c r="BW293" s="894"/>
      <c r="BX293" s="1243"/>
      <c r="BY293" s="1243"/>
      <c r="BZ293" s="1243"/>
      <c r="CA293" s="1243"/>
      <c r="CB293" s="1243"/>
      <c r="CC293" s="1243"/>
      <c r="CD293" s="1243"/>
      <c r="CE293" s="859"/>
      <c r="CF293" s="1229"/>
      <c r="CG293" s="1229"/>
      <c r="CH293" s="1229"/>
      <c r="CI293" s="1229"/>
      <c r="CJ293" s="1229"/>
      <c r="CK293" s="1229"/>
      <c r="CL293" s="1229"/>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38">
        <f>'2B Electricity SEER-SEPR'!AB79</f>
        <v>0</v>
      </c>
      <c r="AB294" s="1238"/>
      <c r="AC294" s="1238"/>
      <c r="AD294" s="1238"/>
      <c r="AE294" s="1238"/>
      <c r="AF294" s="73"/>
      <c r="AG294" s="1208"/>
      <c r="AH294" s="1208"/>
      <c r="AI294" s="1208"/>
      <c r="AJ294" s="1208"/>
      <c r="AK294" s="1208"/>
      <c r="AL294" s="1208"/>
      <c r="AM294" s="1208"/>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28">
        <f>'2B Electricity SEER-SEPR'!AZ79</f>
        <v>0</v>
      </c>
      <c r="BS294" s="1228"/>
      <c r="BT294" s="1228"/>
      <c r="BU294" s="1228"/>
      <c r="BV294" s="1228"/>
      <c r="BW294" s="894"/>
      <c r="BX294" s="1229"/>
      <c r="BY294" s="1229"/>
      <c r="BZ294" s="1229"/>
      <c r="CA294" s="1229"/>
      <c r="CB294" s="1229"/>
      <c r="CC294" s="1229"/>
      <c r="CD294" s="1229"/>
      <c r="CE294" s="859"/>
      <c r="CF294" s="894"/>
      <c r="CG294" s="894"/>
      <c r="CH294" s="894"/>
      <c r="CI294" s="894"/>
      <c r="CJ294" s="894"/>
      <c r="CK294" s="894"/>
      <c r="CL294" s="894"/>
    </row>
    <row r="295" spans="2:270" ht="17" hidden="1" customHeight="1" outlineLevel="1" x14ac:dyDescent="0.15">
      <c r="L295" s="1227"/>
      <c r="M295" s="1227"/>
      <c r="N295" s="1227"/>
      <c r="O295" s="1227"/>
      <c r="P295" s="1227"/>
      <c r="Q295" s="1227"/>
      <c r="R295" s="1227"/>
      <c r="S295" s="68"/>
      <c r="T295" s="68"/>
      <c r="U295" s="68"/>
      <c r="V295" s="68"/>
      <c r="W295" s="68" t="s">
        <v>941</v>
      </c>
      <c r="X295" s="68"/>
      <c r="Y295" s="68"/>
      <c r="Z295" s="68"/>
      <c r="AA295" s="1226">
        <f>IF($AP108=$L224,IF($AE$250=1,AA293,AA294),AA292)</f>
        <v>0</v>
      </c>
      <c r="AB295" s="1226"/>
      <c r="AC295" s="1226"/>
      <c r="AD295" s="1226"/>
      <c r="AE295" s="1226"/>
      <c r="AF295" s="567"/>
      <c r="AG295" s="1235"/>
      <c r="AH295" s="1235"/>
      <c r="AI295" s="1235"/>
      <c r="AJ295" s="1235"/>
      <c r="AK295" s="1235"/>
      <c r="AL295" s="1235"/>
      <c r="AM295" s="1235"/>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28">
        <f>IF($AP108=$L224,IF($AE$250=1,BR293,BR294),BR292)</f>
        <v>0</v>
      </c>
      <c r="BS295" s="1228"/>
      <c r="BT295" s="1228"/>
      <c r="BU295" s="1228"/>
      <c r="BV295" s="1228"/>
      <c r="BW295" s="894"/>
      <c r="BX295" s="1241"/>
      <c r="BY295" s="1241"/>
      <c r="BZ295" s="1241"/>
      <c r="CA295" s="1241"/>
      <c r="CB295" s="1241"/>
      <c r="CC295" s="1241"/>
      <c r="CD295" s="1241"/>
      <c r="CE295" s="859"/>
      <c r="CF295" s="1229"/>
      <c r="CG295" s="1229"/>
      <c r="CH295" s="1229"/>
      <c r="CI295" s="1229"/>
      <c r="CJ295" s="1229"/>
      <c r="CK295" s="1229"/>
      <c r="CL295" s="1229"/>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42">
        <f>'2A Electricity regular'!W251</f>
        <v>0</v>
      </c>
      <c r="AB299" s="1242"/>
      <c r="AC299" s="1242"/>
      <c r="AD299" s="1242"/>
      <c r="AE299" s="124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57"/>
      <c r="BS299" s="1257"/>
      <c r="BT299" s="1257"/>
      <c r="BU299" s="1257"/>
      <c r="BV299" s="1257"/>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42">
        <f>'2A Electricity regular'!W254</f>
        <v>0</v>
      </c>
      <c r="AB300" s="1242"/>
      <c r="AC300" s="1242"/>
      <c r="AD300" s="1242"/>
      <c r="AE300" s="1242"/>
      <c r="AF300" s="73"/>
      <c r="AG300" s="1255"/>
      <c r="AH300" s="1255"/>
      <c r="AI300" s="1255"/>
      <c r="AJ300" s="1255"/>
      <c r="AK300" s="1255"/>
      <c r="AL300" s="1255"/>
      <c r="AM300" s="1255"/>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57">
        <f>'2A Electricity regular'!AU254</f>
        <v>0</v>
      </c>
      <c r="BS300" s="1257"/>
      <c r="BT300" s="1257"/>
      <c r="BU300" s="1257"/>
      <c r="BV300" s="1257"/>
      <c r="BW300" s="894"/>
      <c r="BX300" s="1243"/>
      <c r="BY300" s="1243"/>
      <c r="BZ300" s="1243"/>
      <c r="CA300" s="1243"/>
      <c r="CB300" s="1243"/>
      <c r="CC300" s="1243"/>
      <c r="CD300" s="1243"/>
      <c r="CE300" s="859"/>
      <c r="CF300" s="1229"/>
      <c r="CG300" s="1229"/>
      <c r="CH300" s="1229"/>
      <c r="CI300" s="1229"/>
      <c r="CJ300" s="1229"/>
      <c r="CK300" s="1229"/>
      <c r="CL300" s="1229"/>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42">
        <v>0</v>
      </c>
      <c r="AB301" s="1242"/>
      <c r="AC301" s="1242"/>
      <c r="AD301" s="1242"/>
      <c r="AE301" s="1242"/>
      <c r="AF301" s="73"/>
      <c r="AG301" s="1210"/>
      <c r="AH301" s="1210"/>
      <c r="AI301" s="1210"/>
      <c r="AJ301" s="1210"/>
      <c r="AK301" s="1210"/>
      <c r="AL301" s="1210"/>
      <c r="AM301" s="1210"/>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60"/>
      <c r="BS301" s="1260"/>
      <c r="BT301" s="1260"/>
      <c r="BU301" s="1260"/>
      <c r="BV301" s="1260"/>
      <c r="BW301" s="894"/>
      <c r="BX301" s="1261"/>
      <c r="BY301" s="1261"/>
      <c r="BZ301" s="1261"/>
      <c r="CA301" s="1261"/>
      <c r="CB301" s="1261"/>
      <c r="CC301" s="1261"/>
      <c r="CD301" s="1261"/>
      <c r="CE301" s="859"/>
      <c r="CF301" s="894"/>
      <c r="CG301" s="894"/>
      <c r="CH301" s="894"/>
      <c r="CI301" s="894"/>
      <c r="CJ301" s="894"/>
      <c r="CK301" s="894"/>
      <c r="CL301" s="894"/>
    </row>
    <row r="302" spans="2:270" ht="17" hidden="1" customHeight="1" outlineLevel="1" x14ac:dyDescent="0.15">
      <c r="L302" s="1227"/>
      <c r="M302" s="1227"/>
      <c r="N302" s="1227"/>
      <c r="O302" s="1227"/>
      <c r="P302" s="1227"/>
      <c r="Q302" s="1227"/>
      <c r="R302" s="1227"/>
      <c r="S302" s="68"/>
      <c r="T302" s="68"/>
      <c r="U302" s="68"/>
      <c r="V302" s="68"/>
      <c r="W302" s="68" t="s">
        <v>20</v>
      </c>
      <c r="X302" s="68"/>
      <c r="Y302" s="68"/>
      <c r="Z302" s="68"/>
      <c r="AA302" s="1259">
        <f>IF($AP108=$L224,IF($AE$250=1,AA300,AA301),AA299)</f>
        <v>0</v>
      </c>
      <c r="AB302" s="1259"/>
      <c r="AC302" s="1259"/>
      <c r="AD302" s="1259"/>
      <c r="AE302" s="1259"/>
      <c r="AF302" s="567"/>
      <c r="AG302" s="1235"/>
      <c r="AH302" s="1235"/>
      <c r="AI302" s="1235"/>
      <c r="AJ302" s="1235"/>
      <c r="AK302" s="1235"/>
      <c r="AL302" s="1235"/>
      <c r="AM302" s="1235"/>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57">
        <f>IF($AP108=$L224,IF($AE$250=1,BR300,BR301),BR299)</f>
        <v>0</v>
      </c>
      <c r="BS302" s="1257"/>
      <c r="BT302" s="1257"/>
      <c r="BU302" s="1257"/>
      <c r="BV302" s="1257"/>
      <c r="BW302" s="894"/>
      <c r="BX302" s="1241"/>
      <c r="BY302" s="1241"/>
      <c r="BZ302" s="1241"/>
      <c r="CA302" s="1241"/>
      <c r="CB302" s="1241"/>
      <c r="CC302" s="1241"/>
      <c r="CD302" s="1241"/>
      <c r="CE302" s="859"/>
      <c r="CF302" s="1229"/>
      <c r="CG302" s="1229"/>
      <c r="CH302" s="1229"/>
      <c r="CI302" s="1229"/>
      <c r="CJ302" s="1229"/>
      <c r="CK302" s="1229"/>
      <c r="CL302" s="1229"/>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38"/>
      <c r="AB306" s="1238"/>
      <c r="AC306" s="1238"/>
      <c r="AD306" s="1238"/>
      <c r="AE306" s="1238"/>
      <c r="AF306" s="1238"/>
      <c r="AG306" s="1238"/>
      <c r="AH306" s="1238"/>
      <c r="AI306" s="1238"/>
      <c r="AJ306" s="1238"/>
      <c r="AK306" s="1238"/>
      <c r="AL306" s="1238"/>
      <c r="AM306" s="1238"/>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28"/>
      <c r="BS306" s="1228"/>
      <c r="BT306" s="1228"/>
      <c r="BU306" s="1228"/>
      <c r="BV306" s="1228"/>
      <c r="BW306" s="1228"/>
      <c r="BX306" s="1228"/>
      <c r="BY306" s="1228"/>
      <c r="BZ306" s="1228"/>
      <c r="CA306" s="1228"/>
      <c r="CB306" s="1228"/>
      <c r="CC306" s="1228"/>
      <c r="CD306" s="1228"/>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38">
        <f>IF('2A Electricity regular'!AB110='2A Electricity regular'!BA494,"",'2A Electricity regular'!AB110)</f>
        <v>0</v>
      </c>
      <c r="AB307" s="1238"/>
      <c r="AC307" s="1238"/>
      <c r="AD307" s="1238"/>
      <c r="AE307" s="1238"/>
      <c r="AF307" s="1238"/>
      <c r="AG307" s="1238"/>
      <c r="AH307" s="1238"/>
      <c r="AI307" s="1238"/>
      <c r="AJ307" s="1238"/>
      <c r="AK307" s="1238"/>
      <c r="AL307" s="1238"/>
      <c r="AM307" s="1238"/>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28">
        <f>IF('2A Electricity regular'!AZ110='2A Electricity regular'!BA494,"",'2A Electricity regular'!AZ110)</f>
        <v>0</v>
      </c>
      <c r="BS307" s="1228"/>
      <c r="BT307" s="1228"/>
      <c r="BU307" s="1228"/>
      <c r="BV307" s="1228"/>
      <c r="BW307" s="1228"/>
      <c r="BX307" s="1228"/>
      <c r="BY307" s="1228"/>
      <c r="BZ307" s="1228"/>
      <c r="CA307" s="1228"/>
      <c r="CB307" s="1228"/>
      <c r="CC307" s="1228"/>
      <c r="CD307" s="1228"/>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39" t="str">
        <f>'2B Electricity SEER-SEPR'!AE448</f>
        <v/>
      </c>
      <c r="AB308" s="1239"/>
      <c r="AC308" s="1239"/>
      <c r="AD308" s="1239"/>
      <c r="AE308" s="1239"/>
      <c r="AF308" s="1239"/>
      <c r="AG308" s="1239"/>
      <c r="AH308" s="1239"/>
      <c r="AI308" s="1239"/>
      <c r="AJ308" s="1239"/>
      <c r="AK308" s="1239"/>
      <c r="AL308" s="1239"/>
      <c r="AM308" s="1239"/>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58" t="str">
        <f>'2B Electricity SEER-SEPR'!AV448</f>
        <v/>
      </c>
      <c r="BS308" s="1258"/>
      <c r="BT308" s="1258"/>
      <c r="BU308" s="1258"/>
      <c r="BV308" s="1258"/>
      <c r="BW308" s="1258"/>
      <c r="BX308" s="1258"/>
      <c r="BY308" s="1258"/>
      <c r="BZ308" s="1258"/>
      <c r="CA308" s="1258"/>
      <c r="CB308" s="1258"/>
      <c r="CC308" s="1258"/>
      <c r="CD308" s="1258"/>
      <c r="CE308" s="859"/>
      <c r="CF308" s="894" t="s">
        <v>977</v>
      </c>
      <c r="CG308" s="894"/>
      <c r="CH308" s="894"/>
      <c r="CI308" s="894"/>
      <c r="CJ308" s="894"/>
      <c r="CK308" s="894"/>
      <c r="CL308" s="894"/>
    </row>
    <row r="309" spans="2:270" ht="17" hidden="1" customHeight="1" outlineLevel="1" x14ac:dyDescent="0.15">
      <c r="L309" s="1227"/>
      <c r="M309" s="1227"/>
      <c r="N309" s="1227"/>
      <c r="O309" s="1227"/>
      <c r="P309" s="1227"/>
      <c r="Q309" s="1227"/>
      <c r="R309" s="1227"/>
      <c r="S309" s="68"/>
      <c r="T309" s="68"/>
      <c r="U309" s="68"/>
      <c r="V309" s="68"/>
      <c r="W309" s="68"/>
      <c r="X309" s="68"/>
      <c r="Y309" s="68"/>
      <c r="Z309" s="68"/>
      <c r="AA309" s="1263">
        <f>IF(AC183=1,AA307,IF(AC184=1,AA308,""))</f>
        <v>0</v>
      </c>
      <c r="AB309" s="1263"/>
      <c r="AC309" s="1263"/>
      <c r="AD309" s="1263"/>
      <c r="AE309" s="1263"/>
      <c r="AF309" s="1263"/>
      <c r="AG309" s="1263"/>
      <c r="AH309" s="1263"/>
      <c r="AI309" s="1263"/>
      <c r="AJ309" s="1263"/>
      <c r="AK309" s="1263"/>
      <c r="AL309" s="1263"/>
      <c r="AM309" s="1263"/>
      <c r="AN309" s="567"/>
      <c r="AO309" s="567"/>
      <c r="AP309" s="567"/>
      <c r="AQ309" s="567"/>
      <c r="AR309" s="567"/>
      <c r="AS309" s="567"/>
      <c r="AT309" s="567"/>
      <c r="AU309" s="567"/>
      <c r="AV309" s="567"/>
      <c r="AW309" s="567"/>
      <c r="AX309" s="567"/>
      <c r="AY309" s="567"/>
      <c r="AZ309" s="567"/>
      <c r="BA309" s="567"/>
      <c r="BB309" s="567"/>
      <c r="BC309" s="567"/>
      <c r="BD309" s="567"/>
      <c r="BE309" s="68"/>
      <c r="BF309" s="1227"/>
      <c r="BG309" s="1227"/>
      <c r="BH309" s="1227"/>
      <c r="BI309" s="1227"/>
      <c r="BJ309" s="1227"/>
      <c r="BK309" s="1227"/>
      <c r="BL309" s="1227"/>
      <c r="BM309" s="1227"/>
      <c r="BN309" s="1227"/>
      <c r="BO309" s="1227"/>
      <c r="BP309" s="1227"/>
      <c r="BR309" s="1258">
        <f>IF(AE250=1,BR307,IF(AC184=1,BR308,""))</f>
        <v>0</v>
      </c>
      <c r="BS309" s="1258"/>
      <c r="BT309" s="1258"/>
      <c r="BU309" s="1258"/>
      <c r="BV309" s="1258"/>
      <c r="BW309" s="1258"/>
      <c r="BX309" s="1258"/>
      <c r="BY309" s="1258"/>
      <c r="BZ309" s="1258"/>
      <c r="CA309" s="1258"/>
      <c r="CB309" s="1258"/>
      <c r="CC309" s="1258"/>
      <c r="CD309" s="1258"/>
      <c r="CE309" s="859"/>
      <c r="CF309" s="1229"/>
      <c r="CG309" s="1229"/>
      <c r="CH309" s="1229"/>
      <c r="CI309" s="1229"/>
      <c r="CJ309" s="1229"/>
      <c r="CK309" s="1229"/>
      <c r="CL309" s="1229"/>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Inserimento manuale</v>
      </c>
      <c r="M313" s="34"/>
      <c r="N313" s="34"/>
      <c r="O313" s="34"/>
      <c r="P313" s="34"/>
      <c r="Q313" s="34"/>
      <c r="R313" s="34"/>
      <c r="S313" s="34"/>
      <c r="T313" s="34"/>
      <c r="U313" s="34"/>
      <c r="V313" s="34"/>
      <c r="W313" s="34"/>
      <c r="X313" s="34"/>
      <c r="Y313" s="34"/>
      <c r="Z313" s="34"/>
      <c r="AA313" s="1238">
        <f>AP117</f>
        <v>0</v>
      </c>
      <c r="AB313" s="1238"/>
      <c r="AC313" s="1238"/>
      <c r="AD313" s="1238"/>
      <c r="AE313" s="1238"/>
      <c r="AF313" s="613"/>
      <c r="AG313" s="1238"/>
      <c r="AH313" s="1238"/>
      <c r="AI313" s="1238"/>
      <c r="AJ313" s="1238"/>
      <c r="AK313" s="1238"/>
      <c r="AL313" s="1238"/>
      <c r="AM313" s="1238"/>
      <c r="AN313" s="1238"/>
      <c r="AO313" s="1238"/>
      <c r="AP313" s="1238"/>
      <c r="AQ313" s="1238"/>
      <c r="AR313" s="1238"/>
      <c r="AS313" s="1238"/>
      <c r="AT313" s="1238"/>
      <c r="AU313" s="1236"/>
      <c r="AV313" s="1236"/>
      <c r="AW313" s="1236"/>
      <c r="AX313" s="1236"/>
      <c r="AY313" s="1236"/>
      <c r="AZ313" s="1236"/>
      <c r="BA313" s="1236"/>
      <c r="BB313" s="73"/>
      <c r="BC313" s="73"/>
      <c r="BD313" s="73"/>
      <c r="BE313" s="34"/>
      <c r="BF313" s="1208"/>
      <c r="BG313" s="1208"/>
      <c r="BH313" s="1208"/>
      <c r="BI313" s="1208"/>
      <c r="BJ313" s="1208"/>
      <c r="BK313" s="1208"/>
      <c r="BL313" s="1208"/>
      <c r="BM313" s="1208"/>
      <c r="BN313" s="1208"/>
      <c r="BO313" s="1208"/>
      <c r="BP313" s="1208"/>
      <c r="BR313" s="1228">
        <f>AA313</f>
        <v>0</v>
      </c>
      <c r="BS313" s="1228"/>
      <c r="BT313" s="1228"/>
      <c r="BU313" s="1228"/>
      <c r="BV313" s="1228"/>
      <c r="BW313" s="896"/>
      <c r="BX313" s="1228"/>
      <c r="BY313" s="1228"/>
      <c r="BZ313" s="1228"/>
      <c r="CA313" s="1228"/>
      <c r="CB313" s="1228"/>
      <c r="CC313" s="1228"/>
      <c r="CD313" s="1228"/>
      <c r="CE313" s="1228"/>
      <c r="CF313" s="1228"/>
      <c r="CG313" s="1228"/>
      <c r="CH313" s="1228"/>
      <c r="CI313" s="1228"/>
      <c r="CJ313" s="1228"/>
      <c r="CK313" s="1228"/>
      <c r="CL313" s="1241"/>
      <c r="CM313" s="1241"/>
      <c r="CN313" s="1241"/>
      <c r="CO313" s="1241"/>
      <c r="CP313" s="1241"/>
      <c r="CQ313" s="1241"/>
      <c r="CR313" s="1241"/>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38">
        <f>'2A Electricity regular'!AB101</f>
        <v>0</v>
      </c>
      <c r="AB314" s="1238"/>
      <c r="AC314" s="1238"/>
      <c r="AD314" s="1238"/>
      <c r="AE314" s="1238"/>
      <c r="AF314" s="613"/>
      <c r="AG314" s="1238"/>
      <c r="AH314" s="1238"/>
      <c r="AI314" s="1238"/>
      <c r="AJ314" s="1238"/>
      <c r="AK314" s="1238"/>
      <c r="AL314" s="1238"/>
      <c r="AM314" s="1238"/>
      <c r="AN314" s="1238"/>
      <c r="AO314" s="1238"/>
      <c r="AP314" s="1238"/>
      <c r="AQ314" s="1238"/>
      <c r="AR314" s="1238"/>
      <c r="AS314" s="1238"/>
      <c r="AT314" s="1238"/>
      <c r="AU314" s="1236"/>
      <c r="AV314" s="1236"/>
      <c r="AW314" s="1236"/>
      <c r="AX314" s="1236"/>
      <c r="AY314" s="1236"/>
      <c r="AZ314" s="1236"/>
      <c r="BA314" s="1236"/>
      <c r="BB314" s="612"/>
      <c r="BC314" s="612"/>
      <c r="BD314" s="612"/>
      <c r="BE314" s="34"/>
      <c r="BF314" s="34"/>
      <c r="BG314" s="34"/>
      <c r="BH314" s="34"/>
      <c r="BI314" s="34"/>
      <c r="BJ314" s="34"/>
      <c r="BK314" s="34"/>
      <c r="BL314" s="34"/>
      <c r="BM314" s="34"/>
      <c r="BN314" s="34"/>
      <c r="BO314" s="859"/>
      <c r="BP314" s="859"/>
      <c r="BR314" s="1228">
        <f>'2A Electricity regular'!AZ101</f>
        <v>0</v>
      </c>
      <c r="BS314" s="1228"/>
      <c r="BT314" s="1228"/>
      <c r="BU314" s="1228"/>
      <c r="BV314" s="1228"/>
      <c r="BW314" s="896"/>
      <c r="BX314" s="1228"/>
      <c r="BY314" s="1228"/>
      <c r="BZ314" s="1228"/>
      <c r="CA314" s="1228"/>
      <c r="CB314" s="1228"/>
      <c r="CC314" s="1228"/>
      <c r="CD314" s="1228"/>
      <c r="CE314" s="1228"/>
      <c r="CF314" s="1228"/>
      <c r="CG314" s="1228"/>
      <c r="CH314" s="1228"/>
      <c r="CI314" s="1228"/>
      <c r="CJ314" s="1228"/>
      <c r="CK314" s="1228"/>
      <c r="CL314" s="1241"/>
      <c r="CM314" s="1241"/>
      <c r="CN314" s="1241"/>
      <c r="CO314" s="1241"/>
      <c r="CP314" s="1241"/>
      <c r="CQ314" s="1241"/>
      <c r="CR314" s="1241"/>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38">
        <f>'2B Electricity SEER-SEPR'!AB109</f>
        <v>0</v>
      </c>
      <c r="AB315" s="1238"/>
      <c r="AC315" s="1238"/>
      <c r="AD315" s="1238"/>
      <c r="AE315" s="1238"/>
      <c r="AF315" s="613"/>
      <c r="AG315" s="1238"/>
      <c r="AH315" s="1238"/>
      <c r="AI315" s="1238"/>
      <c r="AJ315" s="1238"/>
      <c r="AK315" s="1238"/>
      <c r="AL315" s="1238"/>
      <c r="AM315" s="1238"/>
      <c r="AN315" s="1238"/>
      <c r="AO315" s="1238"/>
      <c r="AP315" s="1238"/>
      <c r="AQ315" s="1238"/>
      <c r="AR315" s="1238"/>
      <c r="AS315" s="1238"/>
      <c r="AT315" s="1238"/>
      <c r="AU315" s="1236"/>
      <c r="AV315" s="1236"/>
      <c r="AW315" s="1236"/>
      <c r="AX315" s="1236"/>
      <c r="AY315" s="1236"/>
      <c r="AZ315" s="1236"/>
      <c r="BA315" s="1236"/>
      <c r="BB315" s="612"/>
      <c r="BC315" s="612"/>
      <c r="BD315" s="612"/>
      <c r="BE315" s="34"/>
      <c r="BF315" s="66"/>
      <c r="BG315" s="66"/>
      <c r="BH315" s="66"/>
      <c r="BI315" s="66"/>
      <c r="BJ315" s="66"/>
      <c r="BK315" s="66"/>
      <c r="BL315" s="66"/>
      <c r="BM315" s="66"/>
      <c r="BN315" s="66"/>
      <c r="BO315" s="833"/>
      <c r="BP315" s="833"/>
      <c r="BR315" s="1228">
        <f>'2B Electricity SEER-SEPR'!AZ109</f>
        <v>0</v>
      </c>
      <c r="BS315" s="1228"/>
      <c r="BT315" s="1228"/>
      <c r="BU315" s="1228"/>
      <c r="BV315" s="1228"/>
      <c r="BW315" s="896"/>
      <c r="BX315" s="1228"/>
      <c r="BY315" s="1228"/>
      <c r="BZ315" s="1228"/>
      <c r="CA315" s="1228"/>
      <c r="CB315" s="1228"/>
      <c r="CC315" s="1228"/>
      <c r="CD315" s="1228"/>
      <c r="CE315" s="1228"/>
      <c r="CF315" s="1228"/>
      <c r="CG315" s="1228"/>
      <c r="CH315" s="1228"/>
      <c r="CI315" s="1228"/>
      <c r="CJ315" s="1228"/>
      <c r="CK315" s="1228"/>
      <c r="CL315" s="1241"/>
      <c r="CM315" s="1241"/>
      <c r="CN315" s="1241"/>
      <c r="CO315" s="1241"/>
      <c r="CP315" s="1241"/>
      <c r="CQ315" s="1241"/>
      <c r="CR315" s="1241"/>
    </row>
    <row r="316" spans="2:270" ht="17" hidden="1" customHeight="1" outlineLevel="1" x14ac:dyDescent="0.15">
      <c r="L316" s="1227"/>
      <c r="M316" s="1227"/>
      <c r="N316" s="1227"/>
      <c r="O316" s="1227"/>
      <c r="P316" s="1227"/>
      <c r="Q316" s="1227"/>
      <c r="R316" s="1227"/>
      <c r="S316" s="68"/>
      <c r="T316" s="68"/>
      <c r="U316" s="68"/>
      <c r="V316" s="68"/>
      <c r="W316" s="68"/>
      <c r="X316" s="68"/>
      <c r="Y316" s="68"/>
      <c r="Z316" s="68"/>
      <c r="AA316" s="1226">
        <f>IF(AE249=1,AA313,IF(AE250=1,AA314,AA315))</f>
        <v>0</v>
      </c>
      <c r="AB316" s="1226"/>
      <c r="AC316" s="1226"/>
      <c r="AD316" s="1226"/>
      <c r="AE316" s="1226"/>
      <c r="AF316" s="614"/>
      <c r="AG316" s="1226"/>
      <c r="AH316" s="1226"/>
      <c r="AI316" s="1226"/>
      <c r="AJ316" s="1226"/>
      <c r="AK316" s="1226"/>
      <c r="AL316" s="1226"/>
      <c r="AM316" s="1226"/>
      <c r="AN316" s="1226"/>
      <c r="AO316" s="1226"/>
      <c r="AP316" s="1226"/>
      <c r="AQ316" s="1226"/>
      <c r="AR316" s="1226"/>
      <c r="AS316" s="1226"/>
      <c r="AT316" s="1226"/>
      <c r="AU316" s="1235"/>
      <c r="AV316" s="1235"/>
      <c r="AW316" s="1235"/>
      <c r="AX316" s="1235"/>
      <c r="AY316" s="1235"/>
      <c r="AZ316" s="1235"/>
      <c r="BA316" s="1235"/>
      <c r="BB316" s="567"/>
      <c r="BC316" s="567"/>
      <c r="BD316" s="567"/>
      <c r="BE316" s="68"/>
      <c r="BF316" s="68"/>
      <c r="BG316" s="68"/>
      <c r="BH316" s="68"/>
      <c r="BI316" s="68"/>
      <c r="BJ316" s="68"/>
      <c r="BK316" s="68"/>
      <c r="BL316" s="68"/>
      <c r="BM316" s="68"/>
      <c r="BN316" s="68"/>
      <c r="BO316" s="859"/>
      <c r="BP316" s="859"/>
      <c r="BR316" s="1228">
        <f>IF(AE249=1,BR313,IF(AE250=1,BR314,BR315))</f>
        <v>0</v>
      </c>
      <c r="BS316" s="1228"/>
      <c r="BT316" s="1228"/>
      <c r="BU316" s="1228"/>
      <c r="BV316" s="1228"/>
      <c r="BW316" s="896"/>
      <c r="BX316" s="1228"/>
      <c r="BY316" s="1228"/>
      <c r="BZ316" s="1228"/>
      <c r="CA316" s="1228"/>
      <c r="CB316" s="1228"/>
      <c r="CC316" s="1228"/>
      <c r="CD316" s="1228"/>
      <c r="CE316" s="1228"/>
      <c r="CF316" s="1228"/>
      <c r="CG316" s="1228"/>
      <c r="CH316" s="1228"/>
      <c r="CI316" s="1228"/>
      <c r="CJ316" s="1228"/>
      <c r="CK316" s="1228"/>
      <c r="CL316" s="1241"/>
      <c r="CM316" s="1241"/>
      <c r="CN316" s="1241"/>
      <c r="CO316" s="1241"/>
      <c r="CP316" s="1241"/>
      <c r="CQ316" s="1241"/>
      <c r="CR316" s="1241"/>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 ref="BR309:CD309"/>
    <mergeCell ref="AA302:AE302"/>
    <mergeCell ref="AG302:AM302"/>
    <mergeCell ref="BR302:BV302"/>
    <mergeCell ref="AA301:AE301"/>
    <mergeCell ref="AG301:AM301"/>
    <mergeCell ref="BR301:BV301"/>
    <mergeCell ref="BX301:CD301"/>
    <mergeCell ref="AA306:AM306"/>
    <mergeCell ref="AA292:AE292"/>
    <mergeCell ref="AG292:AM292"/>
    <mergeCell ref="AA294:AE294"/>
    <mergeCell ref="AG294:AM294"/>
    <mergeCell ref="AA293:AE293"/>
    <mergeCell ref="AG293:AM293"/>
    <mergeCell ref="BF309:BP309"/>
    <mergeCell ref="AA307:AM307"/>
    <mergeCell ref="AA308:AM308"/>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L316:R316"/>
    <mergeCell ref="AA316:AE316"/>
    <mergeCell ref="AG316:AM316"/>
    <mergeCell ref="AN316:AT316"/>
    <mergeCell ref="AU316:BA316"/>
    <mergeCell ref="BR316:BV316"/>
    <mergeCell ref="BX316:CD316"/>
    <mergeCell ref="CE316:CK316"/>
    <mergeCell ref="CL316:CR316"/>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92" t="str">
        <f>X!$C$285</f>
        <v>indietro alla panoramica (1)</v>
      </c>
      <c r="J2" s="1492"/>
      <c r="K2" s="1492"/>
      <c r="L2" s="1492"/>
      <c r="M2" s="1492"/>
      <c r="N2" s="1492"/>
      <c r="O2" s="1492"/>
      <c r="P2" s="688"/>
      <c r="Q2" s="688"/>
      <c r="R2" s="688"/>
      <c r="S2" s="688"/>
      <c r="T2" s="688"/>
      <c r="U2" s="688"/>
      <c r="V2" s="688"/>
      <c r="W2" s="688"/>
      <c r="X2" s="701"/>
      <c r="Y2" s="700" t="s">
        <v>12</v>
      </c>
      <c r="Z2" s="1492" t="str">
        <f>X!$C$284</f>
        <v>al calcolo TEWI (3)</v>
      </c>
      <c r="AA2" s="1492"/>
      <c r="AB2" s="1492"/>
      <c r="AC2" s="1492"/>
      <c r="AD2" s="1492"/>
      <c r="AE2" s="1492"/>
      <c r="AF2" s="1492"/>
      <c r="AR2" s="440">
        <f>X!E8</f>
        <v>0</v>
      </c>
      <c r="AS2" s="440">
        <f>X!F8</f>
        <v>0</v>
      </c>
      <c r="AT2" s="440">
        <f>X!G8</f>
        <v>1</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Calcolo del fabbisogno di elettricità</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Calcolare il fabbisogno di elettricità nel foglio 2A (ritorno a 1 specifiche dell'impianto)</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Calcolare il fabbisogno di elettricità nel foglio 2A (ritorno a 1 specifiche dell'impianto)</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Secondo le specifiche, lei ha scelto un metodo di calcolo diverso.</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Efficienza per il freddo</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Strumento per prognosi di consumo elettrico, impatto ambientale e costo del ciclo di vita per impianti di refrigerazione e climatizzazione</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Calcolo del fabbisogno di elettricità</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270" t="str">
        <f>IF(Z12,"",AH12)</f>
        <v/>
      </c>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44">
        <f>'1 System specification'!Q87</f>
        <v>0</v>
      </c>
      <c r="I31" s="1244"/>
      <c r="J31" s="1244"/>
      <c r="K31" s="1244"/>
      <c r="L31" s="1244"/>
      <c r="M31" s="1244"/>
      <c r="N31" s="1244"/>
      <c r="O31" s="1244"/>
      <c r="P31" s="1244"/>
      <c r="Q31" s="1244"/>
      <c r="R31" s="1244"/>
      <c r="S31" s="1244"/>
      <c r="T31" s="36"/>
      <c r="U31" s="36"/>
      <c r="V31" s="1248">
        <f ca="1">IF('1 System specification'!AP87="",TODAY(),'1 System specification'!AP87)</f>
        <v>45824</v>
      </c>
      <c r="W31" s="1248"/>
      <c r="X31" s="1248"/>
      <c r="Y31" s="1248"/>
      <c r="Z31" s="1248"/>
      <c r="AA31" s="36"/>
      <c r="AB31" s="1244">
        <f>'1 System specification'!AP94</f>
        <v>0</v>
      </c>
      <c r="AC31" s="1244"/>
      <c r="AD31" s="1244"/>
      <c r="AE31" s="1244"/>
      <c r="AF31" s="1244"/>
      <c r="AG31" s="1244"/>
      <c r="AH31" s="1244"/>
      <c r="AI31" s="1244"/>
      <c r="AJ31" s="1244"/>
      <c r="AK31" s="36"/>
      <c r="AL31" s="1244">
        <f>'1 System specification'!Q94</f>
        <v>0</v>
      </c>
      <c r="AM31" s="1244"/>
      <c r="AN31" s="1244"/>
      <c r="AO31" s="1244"/>
      <c r="AP31" s="1244"/>
      <c r="AQ31" s="1244"/>
      <c r="AR31" s="1244"/>
      <c r="AS31" s="1244"/>
      <c r="AT31" s="1244"/>
      <c r="AU31" s="1244"/>
      <c r="AV31" s="1244"/>
      <c r="AW31" s="1409" t="str">
        <f>'1 System specification'!AO80</f>
        <v>Versione 6.3 (2025): valida fino al 30 maggio 2026</v>
      </c>
      <c r="AX31" s="1409"/>
      <c r="AY31" s="1409"/>
      <c r="AZ31" s="1409"/>
      <c r="BA31" s="1409"/>
      <c r="BB31" s="1409"/>
      <c r="BC31" s="1409"/>
      <c r="BD31" s="1409"/>
      <c r="BE31" s="1409"/>
      <c r="BF31" s="1409"/>
      <c r="BG31" s="1409"/>
      <c r="BH31" s="1409"/>
      <c r="BI31" s="1409"/>
      <c r="BJ31" s="1409"/>
      <c r="BK31" s="1409"/>
      <c r="BL31" s="1409"/>
      <c r="BM31" s="1409"/>
      <c r="BN31" s="1409"/>
      <c r="BO31" s="1409"/>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Dati di base</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Fabbisogno potenza di refrigerazione</v>
      </c>
      <c r="I38" s="74"/>
      <c r="J38" s="74"/>
      <c r="K38" s="74"/>
      <c r="M38" s="74"/>
      <c r="P38" s="74"/>
      <c r="Q38" s="74"/>
      <c r="U38" s="95" t="s">
        <v>83</v>
      </c>
      <c r="W38" s="74"/>
      <c r="X38" s="1419"/>
      <c r="Y38" s="1419"/>
      <c r="Z38" s="1420"/>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Temperatura di utilizzo</v>
      </c>
      <c r="I40" s="74"/>
      <c r="J40" s="74"/>
      <c r="K40" s="74"/>
      <c r="M40" s="74"/>
      <c r="P40" s="74"/>
      <c r="Q40" s="74"/>
      <c r="U40" s="95" t="s">
        <v>85</v>
      </c>
      <c r="W40" s="74"/>
      <c r="X40" s="1419"/>
      <c r="Y40" s="1419"/>
      <c r="Z40" s="1420"/>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Sede (il clima corrisponde circa a...)</v>
      </c>
      <c r="I42" s="74"/>
      <c r="J42" s="74"/>
      <c r="K42" s="74"/>
      <c r="M42" s="74"/>
      <c r="P42" s="74"/>
      <c r="Q42" s="74"/>
      <c r="U42" s="95"/>
      <c r="W42" s="74"/>
      <c r="X42" s="1416"/>
      <c r="Y42" s="1416"/>
      <c r="Z42" s="1416"/>
      <c r="AA42" s="1416"/>
      <c r="AB42" s="1416"/>
      <c r="AC42" s="1416"/>
      <c r="AD42" s="1416"/>
      <c r="AE42" s="1416"/>
      <c r="AF42" s="1416"/>
      <c r="AG42" s="1416"/>
      <c r="AH42" s="1416"/>
      <c r="AI42" s="1416"/>
      <c r="AJ42" s="1416"/>
      <c r="AK42" s="1416"/>
      <c r="AL42" s="1416"/>
      <c r="AM42" s="1416"/>
      <c r="AN42" s="1416"/>
      <c r="AO42" s="1416"/>
      <c r="AP42" s="1417"/>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Profilo d'esercizio</v>
      </c>
      <c r="I44" s="74"/>
      <c r="J44" s="74"/>
      <c r="K44" s="74"/>
      <c r="M44" s="74"/>
      <c r="P44" s="74"/>
      <c r="Q44" s="74"/>
      <c r="U44" s="95"/>
      <c r="W44" s="74"/>
      <c r="X44" s="1423"/>
      <c r="Y44" s="1423"/>
      <c r="Z44" s="1423"/>
      <c r="AA44" s="1423"/>
      <c r="AB44" s="1423"/>
      <c r="AC44" s="1423"/>
      <c r="AD44" s="1423"/>
      <c r="AE44" s="1423"/>
      <c r="AF44" s="1423"/>
      <c r="AG44" s="1423"/>
      <c r="AH44" s="1423"/>
      <c r="AI44" s="1423"/>
      <c r="AJ44" s="1423"/>
      <c r="AK44" s="1423"/>
      <c r="AL44" s="1423"/>
      <c r="AM44" s="1423"/>
      <c r="AN44" s="1423"/>
      <c r="AO44" s="1423"/>
      <c r="AP44" s="1425"/>
      <c r="AQ44" s="333"/>
      <c r="AR44" s="441" t="s">
        <v>266</v>
      </c>
      <c r="AS44" s="441" t="s">
        <v>266</v>
      </c>
      <c r="AT44" s="441" t="s">
        <v>266</v>
      </c>
      <c r="AU44" s="74"/>
      <c r="AV44" s="74"/>
      <c r="AW44" s="74"/>
      <c r="AX44" s="74"/>
      <c r="AY44" s="74"/>
      <c r="AZ44" s="387" t="str">
        <f>X!$C$56</f>
        <v>Profilo d'esercizio</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Scelta dell'impianto di refrigerazione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26">
        <f>'1 System specification'!W243</f>
        <v>1</v>
      </c>
      <c r="AW49" s="1426"/>
      <c r="AX49" s="1426"/>
      <c r="AY49" s="1426"/>
      <c r="AZ49" s="1426"/>
      <c r="BA49" s="1426"/>
      <c r="BB49" s="1426"/>
      <c r="BC49" s="1426"/>
      <c r="BD49" s="1426"/>
      <c r="BE49" s="1426"/>
      <c r="BF49" s="1426"/>
      <c r="BG49" s="1426"/>
      <c r="BH49" s="1426"/>
      <c r="BI49" s="1426"/>
      <c r="BJ49" s="1426"/>
      <c r="BK49" s="1426"/>
      <c r="BL49" s="1426"/>
      <c r="BM49" s="1426"/>
      <c r="BN49" s="1426"/>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18" t="str">
        <f>X!C399</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51" s="1418"/>
      <c r="J51" s="1418"/>
      <c r="K51" s="1418"/>
      <c r="L51" s="1418"/>
      <c r="M51" s="1418"/>
      <c r="N51" s="1418"/>
      <c r="O51" s="1418"/>
      <c r="P51" s="1418"/>
      <c r="Q51" s="1418"/>
      <c r="R51" s="1418"/>
      <c r="S51" s="1418"/>
      <c r="T51" s="1418"/>
      <c r="U51" s="1418"/>
      <c r="V51" s="1418"/>
      <c r="W51" s="1418"/>
      <c r="X51" s="1418"/>
      <c r="Y51" s="1418"/>
      <c r="Z51" s="1418"/>
      <c r="AA51" s="1418"/>
      <c r="AB51" s="1418"/>
      <c r="AC51" s="1418"/>
      <c r="AD51" s="1418"/>
      <c r="AE51" s="1418"/>
      <c r="AF51" s="1418"/>
      <c r="AG51" s="1418"/>
      <c r="AH51" s="1418"/>
      <c r="AI51" s="1418"/>
      <c r="AJ51" s="1418"/>
      <c r="AK51" s="1418"/>
      <c r="AL51" s="1418"/>
      <c r="AM51" s="1418"/>
      <c r="AN51" s="1418"/>
      <c r="AO51" s="1418"/>
      <c r="AP51" s="1418"/>
      <c r="AQ51" s="1418"/>
      <c r="AR51" s="1418"/>
      <c r="AS51" s="1418"/>
      <c r="AT51" s="1418"/>
      <c r="AU51" s="1418"/>
      <c r="AV51" s="1418"/>
      <c r="AW51" s="1418"/>
      <c r="AX51" s="1418"/>
      <c r="AY51" s="1418"/>
      <c r="AZ51" s="1418"/>
      <c r="BA51" s="1418"/>
      <c r="BB51" s="1418"/>
      <c r="BC51" s="1418"/>
      <c r="BD51" s="1418"/>
      <c r="BE51" s="1418"/>
      <c r="BF51" s="1418"/>
      <c r="BG51" s="1418"/>
      <c r="BH51" s="1418"/>
      <c r="BI51" s="1418"/>
      <c r="BJ51" s="1418"/>
      <c r="BK51" s="1418"/>
      <c r="BL51" s="1418"/>
      <c r="BM51" s="1418"/>
      <c r="BN51" s="1418"/>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Temperature</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Temperatura d'evaporazione</v>
      </c>
      <c r="J57" s="74"/>
      <c r="K57" s="74"/>
      <c r="L57" s="74"/>
      <c r="M57" s="74"/>
      <c r="N57" s="74"/>
      <c r="O57" s="74"/>
      <c r="P57" s="74"/>
      <c r="Q57" s="74"/>
      <c r="R57" s="74"/>
      <c r="S57" s="74"/>
      <c r="T57" s="74"/>
      <c r="U57" s="95" t="s">
        <v>85</v>
      </c>
      <c r="V57" s="74"/>
      <c r="W57" s="74"/>
      <c r="X57" s="1419"/>
      <c r="Y57" s="1419"/>
      <c r="Z57" s="1420"/>
      <c r="AA57" s="74"/>
      <c r="AB57" s="107"/>
      <c r="AC57" s="107"/>
      <c r="AD57" s="107"/>
      <c r="AE57" s="107"/>
      <c r="AF57" s="107"/>
      <c r="AG57" s="107"/>
      <c r="AH57" s="107"/>
      <c r="AI57" s="107"/>
      <c r="AJ57" s="107"/>
      <c r="AK57" s="74"/>
      <c r="AL57" s="74"/>
      <c r="AM57" s="74"/>
      <c r="AN57" s="74"/>
      <c r="AO57" s="74"/>
      <c r="AP57" s="74"/>
      <c r="AQ57" s="74"/>
      <c r="AR57" s="74"/>
      <c r="AS57" s="74"/>
      <c r="AT57" s="74"/>
      <c r="AU57" s="74"/>
      <c r="AV57" s="1419"/>
      <c r="AW57" s="1419"/>
      <c r="AX57" s="1420"/>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Temperatura condensazione</v>
      </c>
      <c r="J59" s="74"/>
      <c r="K59" s="74"/>
      <c r="L59" s="74"/>
      <c r="M59" s="74"/>
      <c r="N59" s="74"/>
      <c r="O59" s="74"/>
      <c r="P59" s="74"/>
      <c r="Q59" s="74"/>
      <c r="R59" s="74"/>
      <c r="S59" s="74"/>
      <c r="T59" s="74"/>
      <c r="U59" s="95" t="s">
        <v>85</v>
      </c>
      <c r="V59" s="74"/>
      <c r="W59" s="74"/>
      <c r="X59" s="1419"/>
      <c r="Y59" s="1419"/>
      <c r="Z59" s="1420"/>
      <c r="AA59" s="74"/>
      <c r="AB59" s="116"/>
      <c r="AC59" s="107"/>
      <c r="AD59" s="107"/>
      <c r="AE59" s="107"/>
      <c r="AF59" s="107"/>
      <c r="AG59" s="107"/>
      <c r="AH59" s="107"/>
      <c r="AI59" s="107"/>
      <c r="AJ59" s="107"/>
      <c r="AK59" s="74"/>
      <c r="AL59" s="74"/>
      <c r="AM59" s="74"/>
      <c r="AN59" s="74"/>
      <c r="AO59" s="74"/>
      <c r="AP59" s="74"/>
      <c r="AQ59" s="74"/>
      <c r="AR59" s="74"/>
      <c r="AS59" s="74"/>
      <c r="AT59" s="74"/>
      <c r="AU59" s="74"/>
      <c r="AV59" s="1419"/>
      <c r="AW59" s="1419"/>
      <c r="AX59" s="1420"/>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Concetto produzione freddo</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Numero compressori</v>
      </c>
      <c r="J63" s="74"/>
      <c r="K63" s="74"/>
      <c r="L63" s="74"/>
      <c r="M63" s="74"/>
      <c r="N63" s="74"/>
      <c r="O63" s="74"/>
      <c r="P63" s="74"/>
      <c r="Q63" s="74"/>
      <c r="R63" s="74"/>
      <c r="S63" s="74"/>
      <c r="T63" s="74"/>
      <c r="U63" s="95" t="str">
        <f>X!C295</f>
        <v xml:space="preserve">Numero </v>
      </c>
      <c r="V63" s="74"/>
      <c r="W63" s="74"/>
      <c r="X63" s="1419"/>
      <c r="Y63" s="1419"/>
      <c r="Z63" s="1420"/>
      <c r="AA63" s="74"/>
      <c r="AB63" s="1424">
        <f>MAX(X63,AV63)</f>
        <v>0</v>
      </c>
      <c r="AC63" s="1424"/>
      <c r="AD63" s="1424"/>
      <c r="AE63" s="1424"/>
      <c r="AF63" s="1424"/>
      <c r="AG63" s="1424"/>
      <c r="AH63" s="1424"/>
      <c r="AI63" s="1424"/>
      <c r="AJ63" s="1424"/>
      <c r="AK63" s="1424"/>
      <c r="AL63" s="1424"/>
      <c r="AM63" s="1424"/>
      <c r="AN63" s="1424"/>
      <c r="AO63" s="1424"/>
      <c r="AP63" s="1424"/>
      <c r="AQ63" s="326"/>
      <c r="AR63" s="441" t="s">
        <v>266</v>
      </c>
      <c r="AS63" s="441" t="s">
        <v>266</v>
      </c>
      <c r="AT63" s="441" t="s">
        <v>266</v>
      </c>
      <c r="AU63" s="74"/>
      <c r="AV63" s="1419"/>
      <c r="AW63" s="1419"/>
      <c r="AX63" s="1420"/>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Refrigerante</v>
      </c>
      <c r="J65" s="74"/>
      <c r="K65" s="74"/>
      <c r="L65" s="74"/>
      <c r="M65" s="74"/>
      <c r="N65" s="74"/>
      <c r="O65" s="74"/>
      <c r="P65" s="74"/>
      <c r="Q65" s="74"/>
      <c r="R65" s="74"/>
      <c r="S65" s="74"/>
      <c r="T65" s="74"/>
      <c r="U65" s="95"/>
      <c r="V65" s="74"/>
      <c r="W65" s="74"/>
      <c r="X65" s="1357"/>
      <c r="Y65" s="1357"/>
      <c r="Z65" s="1357"/>
      <c r="AA65" s="1357"/>
      <c r="AB65" s="1357"/>
      <c r="AC65" s="1357"/>
      <c r="AD65" s="1357"/>
      <c r="AE65" s="1358"/>
      <c r="AF65" s="542"/>
      <c r="AG65" s="542"/>
      <c r="AH65" s="542"/>
      <c r="AI65" s="542"/>
      <c r="AJ65" s="542"/>
      <c r="AK65" s="542"/>
      <c r="AL65" s="542"/>
      <c r="AM65" s="542"/>
      <c r="AN65" s="542"/>
      <c r="AO65" s="542"/>
      <c r="AP65" s="542"/>
      <c r="AQ65" s="326"/>
      <c r="AR65" s="74"/>
      <c r="AS65" s="74"/>
      <c r="AT65" s="74"/>
      <c r="AU65" s="74"/>
      <c r="AV65" s="1357"/>
      <c r="AW65" s="1357"/>
      <c r="AX65" s="1357"/>
      <c r="AY65" s="1357"/>
      <c r="AZ65" s="1357"/>
      <c r="BA65" s="1357"/>
      <c r="BB65" s="1357"/>
      <c r="BC65" s="1358"/>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Compressore</v>
      </c>
      <c r="J67" s="115"/>
      <c r="K67" s="115"/>
      <c r="L67" s="74"/>
      <c r="M67" s="74"/>
      <c r="N67" s="74"/>
      <c r="O67" s="74"/>
      <c r="P67" s="74"/>
      <c r="Q67" s="74"/>
      <c r="R67" s="74"/>
      <c r="S67" s="74"/>
      <c r="T67" s="74"/>
      <c r="U67" s="95"/>
      <c r="V67" s="74"/>
      <c r="W67" s="74"/>
      <c r="X67" s="32"/>
      <c r="Y67" s="32"/>
      <c r="Z67" s="388" t="str">
        <f>X!$C$191</f>
        <v>P elettrica</v>
      </c>
      <c r="AA67" s="120"/>
      <c r="AB67" s="389" t="str">
        <f>X!$C$206</f>
        <v>Tipo di regolazione</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elettrica</v>
      </c>
      <c r="AY67" s="120"/>
      <c r="AZ67" s="389" t="str">
        <f>X!$C$206</f>
        <v>Tipo di regolazione</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Compressore 1</v>
      </c>
      <c r="J69" s="74"/>
      <c r="K69" s="74"/>
      <c r="M69" s="74"/>
      <c r="P69" s="74"/>
      <c r="Q69" s="74"/>
      <c r="U69" s="95" t="s">
        <v>163</v>
      </c>
      <c r="W69" s="74"/>
      <c r="X69" s="1419"/>
      <c r="Y69" s="1419"/>
      <c r="Z69" s="1420"/>
      <c r="AA69" s="74"/>
      <c r="AB69" s="1423"/>
      <c r="AC69" s="1416"/>
      <c r="AD69" s="1416"/>
      <c r="AE69" s="1416"/>
      <c r="AF69" s="1416"/>
      <c r="AG69" s="1416"/>
      <c r="AH69" s="1416"/>
      <c r="AI69" s="1416"/>
      <c r="AJ69" s="1416"/>
      <c r="AK69" s="1416"/>
      <c r="AL69" s="1416"/>
      <c r="AM69" s="1416"/>
      <c r="AN69" s="1416"/>
      <c r="AO69" s="1416"/>
      <c r="AP69" s="1417"/>
      <c r="AQ69" s="32"/>
      <c r="AR69" s="32"/>
      <c r="AS69" s="32"/>
      <c r="AT69" s="32"/>
      <c r="AU69" s="74"/>
      <c r="AV69" s="1419"/>
      <c r="AW69" s="1419"/>
      <c r="AX69" s="1420"/>
      <c r="AY69" s="74"/>
      <c r="AZ69" s="1416"/>
      <c r="BA69" s="1416"/>
      <c r="BB69" s="1416"/>
      <c r="BC69" s="1416"/>
      <c r="BD69" s="1416"/>
      <c r="BE69" s="1416"/>
      <c r="BF69" s="1416"/>
      <c r="BG69" s="1416"/>
      <c r="BH69" s="1416"/>
      <c r="BI69" s="1416"/>
      <c r="BJ69" s="1416"/>
      <c r="BK69" s="1416"/>
      <c r="BL69" s="1416"/>
      <c r="BM69" s="1416"/>
      <c r="BN69" s="1417"/>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Compressore 2</v>
      </c>
      <c r="J71" s="74"/>
      <c r="K71" s="74"/>
      <c r="M71" s="74"/>
      <c r="P71" s="74"/>
      <c r="Q71" s="74"/>
      <c r="U71" s="95" t="s">
        <v>163</v>
      </c>
      <c r="W71" s="74"/>
      <c r="X71" s="1419"/>
      <c r="Y71" s="1419"/>
      <c r="Z71" s="1420"/>
      <c r="AA71" s="74"/>
      <c r="AB71" s="1416"/>
      <c r="AC71" s="1416"/>
      <c r="AD71" s="1416"/>
      <c r="AE71" s="1416"/>
      <c r="AF71" s="1416"/>
      <c r="AG71" s="1416"/>
      <c r="AH71" s="1416"/>
      <c r="AI71" s="1416"/>
      <c r="AJ71" s="1416"/>
      <c r="AK71" s="1416"/>
      <c r="AL71" s="1416"/>
      <c r="AM71" s="1416"/>
      <c r="AN71" s="1416"/>
      <c r="AO71" s="1416"/>
      <c r="AP71" s="1417"/>
      <c r="AQ71" s="32"/>
      <c r="AR71" s="32"/>
      <c r="AS71" s="32"/>
      <c r="AT71" s="32"/>
      <c r="AU71" s="74"/>
      <c r="AV71" s="1419"/>
      <c r="AW71" s="1419"/>
      <c r="AX71" s="1420"/>
      <c r="AY71" s="74"/>
      <c r="AZ71" s="1416"/>
      <c r="BA71" s="1416"/>
      <c r="BB71" s="1416"/>
      <c r="BC71" s="1416"/>
      <c r="BD71" s="1416"/>
      <c r="BE71" s="1416"/>
      <c r="BF71" s="1416"/>
      <c r="BG71" s="1416"/>
      <c r="BH71" s="1416"/>
      <c r="BI71" s="1416"/>
      <c r="BJ71" s="1416"/>
      <c r="BK71" s="1416"/>
      <c r="BL71" s="1416"/>
      <c r="BM71" s="1416"/>
      <c r="BN71" s="1417"/>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Compressore 3</v>
      </c>
      <c r="J73" s="74"/>
      <c r="K73" s="74"/>
      <c r="M73" s="74"/>
      <c r="P73" s="74"/>
      <c r="Q73" s="74"/>
      <c r="U73" s="95" t="s">
        <v>163</v>
      </c>
      <c r="W73" s="74"/>
      <c r="X73" s="1419"/>
      <c r="Y73" s="1419"/>
      <c r="Z73" s="1420"/>
      <c r="AA73" s="74"/>
      <c r="AB73" s="1416"/>
      <c r="AC73" s="1416"/>
      <c r="AD73" s="1416"/>
      <c r="AE73" s="1416"/>
      <c r="AF73" s="1416"/>
      <c r="AG73" s="1416"/>
      <c r="AH73" s="1416"/>
      <c r="AI73" s="1416"/>
      <c r="AJ73" s="1416"/>
      <c r="AK73" s="1416"/>
      <c r="AL73" s="1416"/>
      <c r="AM73" s="1416"/>
      <c r="AN73" s="1416"/>
      <c r="AO73" s="1416"/>
      <c r="AP73" s="1417"/>
      <c r="AQ73" s="32"/>
      <c r="AR73" s="32"/>
      <c r="AS73" s="32"/>
      <c r="AT73" s="32"/>
      <c r="AU73" s="74"/>
      <c r="AV73" s="1419"/>
      <c r="AW73" s="1419"/>
      <c r="AX73" s="1420"/>
      <c r="AY73" s="74"/>
      <c r="AZ73" s="1416"/>
      <c r="BA73" s="1416"/>
      <c r="BB73" s="1416"/>
      <c r="BC73" s="1416"/>
      <c r="BD73" s="1416"/>
      <c r="BE73" s="1416"/>
      <c r="BF73" s="1416"/>
      <c r="BG73" s="1416"/>
      <c r="BH73" s="1416"/>
      <c r="BI73" s="1416"/>
      <c r="BJ73" s="1416"/>
      <c r="BK73" s="1416"/>
      <c r="BL73" s="1416"/>
      <c r="BM73" s="1416"/>
      <c r="BN73" s="1417"/>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Compressore 4</v>
      </c>
      <c r="J75" s="74"/>
      <c r="K75" s="74"/>
      <c r="M75" s="74"/>
      <c r="P75" s="74"/>
      <c r="Q75" s="74"/>
      <c r="U75" s="95" t="s">
        <v>163</v>
      </c>
      <c r="W75" s="74"/>
      <c r="X75" s="1419"/>
      <c r="Y75" s="1419"/>
      <c r="Z75" s="1420"/>
      <c r="AA75" s="74"/>
      <c r="AB75" s="1416"/>
      <c r="AC75" s="1416"/>
      <c r="AD75" s="1416"/>
      <c r="AE75" s="1416"/>
      <c r="AF75" s="1416"/>
      <c r="AG75" s="1416"/>
      <c r="AH75" s="1416"/>
      <c r="AI75" s="1416"/>
      <c r="AJ75" s="1416"/>
      <c r="AK75" s="1416"/>
      <c r="AL75" s="1416"/>
      <c r="AM75" s="1416"/>
      <c r="AN75" s="1416"/>
      <c r="AO75" s="1416"/>
      <c r="AP75" s="1417"/>
      <c r="AQ75" s="32"/>
      <c r="AR75" s="32"/>
      <c r="AS75" s="32"/>
      <c r="AT75" s="32"/>
      <c r="AU75" s="74"/>
      <c r="AV75" s="1419"/>
      <c r="AW75" s="1419"/>
      <c r="AX75" s="1420"/>
      <c r="AY75" s="74"/>
      <c r="AZ75" s="1416"/>
      <c r="BA75" s="1416"/>
      <c r="BB75" s="1416"/>
      <c r="BC75" s="1416"/>
      <c r="BD75" s="1416"/>
      <c r="BE75" s="1416"/>
      <c r="BF75" s="1416"/>
      <c r="BG75" s="1416"/>
      <c r="BH75" s="1416"/>
      <c r="BI75" s="1416"/>
      <c r="BJ75" s="1416"/>
      <c r="BK75" s="1416"/>
      <c r="BL75" s="1416"/>
      <c r="BM75" s="1416"/>
      <c r="BN75" s="1417"/>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Aggregati ausiliari «parte caldo»</v>
      </c>
      <c r="J77" s="115"/>
      <c r="K77" s="115"/>
      <c r="L77" s="74"/>
      <c r="M77" s="74"/>
      <c r="X77" s="32"/>
      <c r="Y77" s="32"/>
      <c r="Z77" s="388" t="str">
        <f>X!$C$191</f>
        <v>P elettrica</v>
      </c>
      <c r="AA77" s="120"/>
      <c r="AB77" s="389" t="str">
        <f>X!$C$206</f>
        <v>Tipo di regolazione</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elettrica</v>
      </c>
      <c r="AY77" s="120"/>
      <c r="AZ77" s="389" t="str">
        <f>X!$C$206</f>
        <v>Tipo di regolazione</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Pompe circolazione caldo</v>
      </c>
      <c r="J79" s="95"/>
      <c r="K79" s="95"/>
      <c r="M79" s="95"/>
      <c r="N79" s="95"/>
      <c r="O79" s="95"/>
      <c r="P79" s="95"/>
      <c r="Q79" s="95"/>
      <c r="R79" s="95"/>
      <c r="S79" s="95"/>
      <c r="T79" s="95"/>
      <c r="U79" s="95" t="s">
        <v>83</v>
      </c>
      <c r="V79" s="95"/>
      <c r="W79" s="95"/>
      <c r="X79" s="1381"/>
      <c r="Y79" s="1381"/>
      <c r="Z79" s="1382"/>
      <c r="AA79" s="74"/>
      <c r="AB79" s="1416"/>
      <c r="AC79" s="1416"/>
      <c r="AD79" s="1416"/>
      <c r="AE79" s="1416"/>
      <c r="AF79" s="1416"/>
      <c r="AG79" s="1416"/>
      <c r="AH79" s="1416"/>
      <c r="AI79" s="1416"/>
      <c r="AJ79" s="1416"/>
      <c r="AK79" s="1416"/>
      <c r="AL79" s="1416"/>
      <c r="AM79" s="1416"/>
      <c r="AN79" s="1416"/>
      <c r="AO79" s="1416"/>
      <c r="AP79" s="1417"/>
      <c r="AQ79" s="32"/>
      <c r="AR79" s="32"/>
      <c r="AS79" s="32"/>
      <c r="AT79" s="32"/>
      <c r="AU79" s="74"/>
      <c r="AV79" s="1381"/>
      <c r="AW79" s="1381"/>
      <c r="AX79" s="1382"/>
      <c r="AY79" s="74"/>
      <c r="AZ79" s="1416"/>
      <c r="BA79" s="1416"/>
      <c r="BB79" s="1416"/>
      <c r="BC79" s="1416"/>
      <c r="BD79" s="1416"/>
      <c r="BE79" s="1416"/>
      <c r="BF79" s="1416"/>
      <c r="BG79" s="1416"/>
      <c r="BH79" s="1416"/>
      <c r="BI79" s="1416"/>
      <c r="BJ79" s="1416"/>
      <c r="BK79" s="1416"/>
      <c r="BL79" s="1416"/>
      <c r="BM79" s="1416"/>
      <c r="BN79" s="1417"/>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Pompe nebulizzazione</v>
      </c>
      <c r="J81" s="74"/>
      <c r="K81" s="74"/>
      <c r="M81" s="74"/>
      <c r="N81" s="74"/>
      <c r="O81" s="74"/>
      <c r="P81" s="74"/>
      <c r="Q81" s="74"/>
      <c r="R81" s="74"/>
      <c r="S81" s="74"/>
      <c r="T81" s="74"/>
      <c r="U81" s="95" t="s">
        <v>83</v>
      </c>
      <c r="V81" s="74"/>
      <c r="W81" s="74"/>
      <c r="X81" s="1381"/>
      <c r="Y81" s="1381"/>
      <c r="Z81" s="1382"/>
      <c r="AA81" s="74"/>
      <c r="AB81" s="1423"/>
      <c r="AC81" s="1416"/>
      <c r="AD81" s="1416"/>
      <c r="AE81" s="1416"/>
      <c r="AF81" s="1416"/>
      <c r="AG81" s="1416"/>
      <c r="AH81" s="1416"/>
      <c r="AI81" s="1416"/>
      <c r="AJ81" s="1416"/>
      <c r="AK81" s="1416"/>
      <c r="AL81" s="1416"/>
      <c r="AM81" s="1416"/>
      <c r="AN81" s="1416"/>
      <c r="AO81" s="1416"/>
      <c r="AP81" s="1417"/>
      <c r="AQ81" s="32"/>
      <c r="AR81" s="32"/>
      <c r="AS81" s="32"/>
      <c r="AT81" s="32"/>
      <c r="AU81" s="74"/>
      <c r="AV81" s="1381"/>
      <c r="AW81" s="1381"/>
      <c r="AX81" s="1382"/>
      <c r="AY81" s="74"/>
      <c r="AZ81" s="1416"/>
      <c r="BA81" s="1416"/>
      <c r="BB81" s="1416"/>
      <c r="BC81" s="1416"/>
      <c r="BD81" s="1416"/>
      <c r="BE81" s="1416"/>
      <c r="BF81" s="1416"/>
      <c r="BG81" s="1416"/>
      <c r="BH81" s="1416"/>
      <c r="BI81" s="1416"/>
      <c r="BJ81" s="1416"/>
      <c r="BK81" s="1416"/>
      <c r="BL81" s="1416"/>
      <c r="BM81" s="1416"/>
      <c r="BN81" s="1417"/>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Ventilatori raffreddato /condensatore</v>
      </c>
      <c r="J83" s="74"/>
      <c r="K83" s="74"/>
      <c r="M83" s="74"/>
      <c r="N83" s="74"/>
      <c r="O83" s="74"/>
      <c r="P83" s="74"/>
      <c r="Q83" s="74"/>
      <c r="R83" s="74"/>
      <c r="S83" s="74"/>
      <c r="T83" s="74"/>
      <c r="U83" s="95" t="s">
        <v>83</v>
      </c>
      <c r="V83" s="74"/>
      <c r="W83" s="74"/>
      <c r="X83" s="1381"/>
      <c r="Y83" s="1381"/>
      <c r="Z83" s="1382"/>
      <c r="AA83" s="74"/>
      <c r="AB83" s="1416"/>
      <c r="AC83" s="1416"/>
      <c r="AD83" s="1416"/>
      <c r="AE83" s="1416"/>
      <c r="AF83" s="1416"/>
      <c r="AG83" s="1416"/>
      <c r="AH83" s="1416"/>
      <c r="AI83" s="1416"/>
      <c r="AJ83" s="1416"/>
      <c r="AK83" s="1416"/>
      <c r="AL83" s="1416"/>
      <c r="AM83" s="1416"/>
      <c r="AN83" s="1416"/>
      <c r="AO83" s="1416"/>
      <c r="AP83" s="1417"/>
      <c r="AQ83" s="32"/>
      <c r="AR83" s="32"/>
      <c r="AS83" s="32"/>
      <c r="AT83" s="32"/>
      <c r="AU83" s="74"/>
      <c r="AV83" s="1381"/>
      <c r="AW83" s="1381"/>
      <c r="AX83" s="1382"/>
      <c r="AY83" s="74"/>
      <c r="AZ83" s="1416"/>
      <c r="BA83" s="1416"/>
      <c r="BB83" s="1416"/>
      <c r="BC83" s="1416"/>
      <c r="BD83" s="1416"/>
      <c r="BE83" s="1416"/>
      <c r="BF83" s="1416"/>
      <c r="BG83" s="1416"/>
      <c r="BH83" s="1416"/>
      <c r="BI83" s="1416"/>
      <c r="BJ83" s="1416"/>
      <c r="BK83" s="1416"/>
      <c r="BL83" s="1416"/>
      <c r="BM83" s="1416"/>
      <c r="BN83" s="1417"/>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14"/>
      <c r="J85" s="1414"/>
      <c r="K85" s="1414"/>
      <c r="L85" s="1414"/>
      <c r="M85" s="1414"/>
      <c r="N85" s="1414"/>
      <c r="O85" s="1414"/>
      <c r="P85" s="1414"/>
      <c r="Q85" s="1414"/>
      <c r="R85" s="1414"/>
      <c r="S85" s="1415"/>
      <c r="T85" s="74"/>
      <c r="U85" s="127" t="s">
        <v>83</v>
      </c>
      <c r="V85" s="127"/>
      <c r="W85" s="127"/>
      <c r="X85" s="1381"/>
      <c r="Y85" s="1381"/>
      <c r="Z85" s="1382"/>
      <c r="AA85" s="74"/>
      <c r="AB85" s="1416"/>
      <c r="AC85" s="1416"/>
      <c r="AD85" s="1416"/>
      <c r="AE85" s="1416"/>
      <c r="AF85" s="1416"/>
      <c r="AG85" s="1416"/>
      <c r="AH85" s="1416"/>
      <c r="AI85" s="1416"/>
      <c r="AJ85" s="1416"/>
      <c r="AK85" s="1416"/>
      <c r="AL85" s="1416"/>
      <c r="AM85" s="1416"/>
      <c r="AN85" s="1416"/>
      <c r="AO85" s="1416"/>
      <c r="AP85" s="1417"/>
      <c r="AQ85" s="171"/>
      <c r="AR85" s="441" t="s">
        <v>266</v>
      </c>
      <c r="AS85" s="441" t="s">
        <v>266</v>
      </c>
      <c r="AT85" s="441" t="s">
        <v>266</v>
      </c>
      <c r="AU85" s="74"/>
      <c r="AV85" s="1381"/>
      <c r="AW85" s="1381"/>
      <c r="AX85" s="1382"/>
      <c r="AY85" s="74"/>
      <c r="AZ85" s="1416"/>
      <c r="BA85" s="1416"/>
      <c r="BB85" s="1416"/>
      <c r="BC85" s="1416"/>
      <c r="BD85" s="1416"/>
      <c r="BE85" s="1416"/>
      <c r="BF85" s="1416"/>
      <c r="BG85" s="1416"/>
      <c r="BH85" s="1416"/>
      <c r="BI85" s="1416"/>
      <c r="BJ85" s="1416"/>
      <c r="BK85" s="1416"/>
      <c r="BL85" s="1416"/>
      <c r="BM85" s="1416"/>
      <c r="BN85" s="1417"/>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Aggregati ausiliari «parte freddo»</v>
      </c>
      <c r="J87" s="115"/>
      <c r="K87" s="115"/>
      <c r="L87" s="74"/>
      <c r="M87" s="74"/>
      <c r="Y87" s="32"/>
      <c r="Z87" s="388" t="str">
        <f>X!$C$191</f>
        <v>P elettrica</v>
      </c>
      <c r="AA87" s="120"/>
      <c r="AB87" s="389" t="str">
        <f>X!$C$206</f>
        <v>Tipo di regolazione</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elettrica</v>
      </c>
      <c r="AY87" s="120"/>
      <c r="AZ87" s="389" t="str">
        <f>X!$C$206</f>
        <v>Tipo di regolazione</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Pompe circolazione freddo</v>
      </c>
      <c r="J89" s="74"/>
      <c r="K89" s="74"/>
      <c r="L89" s="74"/>
      <c r="M89" s="74"/>
      <c r="N89" s="74"/>
      <c r="O89" s="74"/>
      <c r="P89" s="74"/>
      <c r="Q89" s="74"/>
      <c r="R89" s="74"/>
      <c r="S89" s="74"/>
      <c r="T89" s="74"/>
      <c r="U89" s="95" t="s">
        <v>83</v>
      </c>
      <c r="V89" s="74"/>
      <c r="W89" s="74"/>
      <c r="X89" s="1381"/>
      <c r="Y89" s="1381"/>
      <c r="Z89" s="1382"/>
      <c r="AA89" s="74"/>
      <c r="AB89" s="1416"/>
      <c r="AC89" s="1416"/>
      <c r="AD89" s="1416"/>
      <c r="AE89" s="1416"/>
      <c r="AF89" s="1416"/>
      <c r="AG89" s="1416"/>
      <c r="AH89" s="1416"/>
      <c r="AI89" s="1416"/>
      <c r="AJ89" s="1416"/>
      <c r="AK89" s="1416"/>
      <c r="AL89" s="1416"/>
      <c r="AM89" s="1416"/>
      <c r="AN89" s="1416"/>
      <c r="AO89" s="1416"/>
      <c r="AP89" s="1417"/>
      <c r="AQ89" s="32"/>
      <c r="AR89" s="32"/>
      <c r="AS89" s="32"/>
      <c r="AT89" s="32"/>
      <c r="AU89" s="74"/>
      <c r="AV89" s="1381"/>
      <c r="AW89" s="1381"/>
      <c r="AX89" s="1382"/>
      <c r="AY89" s="74"/>
      <c r="AZ89" s="1416"/>
      <c r="BA89" s="1416"/>
      <c r="BB89" s="1416"/>
      <c r="BC89" s="1416"/>
      <c r="BD89" s="1416"/>
      <c r="BE89" s="1416"/>
      <c r="BF89" s="1416"/>
      <c r="BG89" s="1416"/>
      <c r="BH89" s="1416"/>
      <c r="BI89" s="1416"/>
      <c r="BJ89" s="1416"/>
      <c r="BK89" s="1416"/>
      <c r="BL89" s="1416"/>
      <c r="BM89" s="1416"/>
      <c r="BN89" s="1417"/>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Ventilatori gruppo freddo</v>
      </c>
      <c r="J91" s="74"/>
      <c r="K91" s="74"/>
      <c r="L91" s="74"/>
      <c r="M91" s="74"/>
      <c r="N91" s="74"/>
      <c r="O91" s="74"/>
      <c r="P91" s="74"/>
      <c r="Q91" s="74"/>
      <c r="R91" s="74"/>
      <c r="S91" s="74"/>
      <c r="T91" s="74"/>
      <c r="U91" s="95" t="s">
        <v>83</v>
      </c>
      <c r="V91" s="74"/>
      <c r="W91" s="74"/>
      <c r="X91" s="1381"/>
      <c r="Y91" s="1381"/>
      <c r="Z91" s="1382"/>
      <c r="AA91" s="74"/>
      <c r="AB91" s="1416"/>
      <c r="AC91" s="1416"/>
      <c r="AD91" s="1416"/>
      <c r="AE91" s="1416"/>
      <c r="AF91" s="1416"/>
      <c r="AG91" s="1416"/>
      <c r="AH91" s="1416"/>
      <c r="AI91" s="1416"/>
      <c r="AJ91" s="1416"/>
      <c r="AK91" s="1416"/>
      <c r="AL91" s="1416"/>
      <c r="AM91" s="1416"/>
      <c r="AN91" s="1416"/>
      <c r="AO91" s="1416"/>
      <c r="AP91" s="1417"/>
      <c r="AQ91" s="32"/>
      <c r="AR91" s="32"/>
      <c r="AS91" s="32"/>
      <c r="AT91" s="32"/>
      <c r="AU91" s="74"/>
      <c r="AV91" s="1381"/>
      <c r="AW91" s="1381"/>
      <c r="AX91" s="1382"/>
      <c r="AY91" s="74"/>
      <c r="AZ91" s="1416"/>
      <c r="BA91" s="1416"/>
      <c r="BB91" s="1416"/>
      <c r="BC91" s="1416"/>
      <c r="BD91" s="1416"/>
      <c r="BE91" s="1416"/>
      <c r="BF91" s="1416"/>
      <c r="BG91" s="1416"/>
      <c r="BH91" s="1416"/>
      <c r="BI91" s="1416"/>
      <c r="BJ91" s="1416"/>
      <c r="BK91" s="1416"/>
      <c r="BL91" s="1416"/>
      <c r="BM91" s="1416"/>
      <c r="BN91" s="1417"/>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14"/>
      <c r="J93" s="1414"/>
      <c r="K93" s="1414"/>
      <c r="L93" s="1414"/>
      <c r="M93" s="1414"/>
      <c r="N93" s="1414"/>
      <c r="O93" s="1414"/>
      <c r="P93" s="1414"/>
      <c r="Q93" s="1414"/>
      <c r="R93" s="1414"/>
      <c r="S93" s="1415"/>
      <c r="T93" s="74"/>
      <c r="U93" s="127" t="s">
        <v>83</v>
      </c>
      <c r="V93" s="127"/>
      <c r="W93" s="127"/>
      <c r="X93" s="1381"/>
      <c r="Y93" s="1381"/>
      <c r="Z93" s="1382"/>
      <c r="AA93" s="74"/>
      <c r="AB93" s="1416"/>
      <c r="AC93" s="1416"/>
      <c r="AD93" s="1416"/>
      <c r="AE93" s="1416"/>
      <c r="AF93" s="1416"/>
      <c r="AG93" s="1416"/>
      <c r="AH93" s="1416"/>
      <c r="AI93" s="1416"/>
      <c r="AJ93" s="1416"/>
      <c r="AK93" s="1416"/>
      <c r="AL93" s="1416"/>
      <c r="AM93" s="1416"/>
      <c r="AN93" s="1416"/>
      <c r="AO93" s="1416"/>
      <c r="AP93" s="1417"/>
      <c r="AQ93" s="171"/>
      <c r="AR93" s="441" t="s">
        <v>266</v>
      </c>
      <c r="AS93" s="441" t="s">
        <v>266</v>
      </c>
      <c r="AT93" s="441" t="s">
        <v>266</v>
      </c>
      <c r="AU93" s="74"/>
      <c r="AV93" s="1381"/>
      <c r="AW93" s="1381"/>
      <c r="AX93" s="1382"/>
      <c r="AY93" s="74"/>
      <c r="AZ93" s="1416"/>
      <c r="BA93" s="1416"/>
      <c r="BB93" s="1416"/>
      <c r="BC93" s="1416"/>
      <c r="BD93" s="1416"/>
      <c r="BE93" s="1416"/>
      <c r="BF93" s="1416"/>
      <c r="BG93" s="1416"/>
      <c r="BH93" s="1416"/>
      <c r="BI93" s="1416"/>
      <c r="BJ93" s="1416"/>
      <c r="BK93" s="1416"/>
      <c r="BL93" s="1416"/>
      <c r="BM93" s="1416"/>
      <c r="BN93" s="1417"/>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Nota: per i sistemi ausiliari calcolare la potenza media.</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27" t="str">
        <f>X!C299</f>
        <v>Esempio di sistema di refrigerazione con 5000 ore di funzionamento: Per un sistema di sbrinamento a resistenza elettrica di potenza di 1 kW, con 2 funzionamenti giornalieri di 40 minuti (500 h/a, corrispondenti al 10% delle ore di lavoro), la potenza media del 10% di 1 kW = 0.1 kW.</v>
      </c>
      <c r="J96" s="1427"/>
      <c r="K96" s="1427"/>
      <c r="L96" s="1427"/>
      <c r="M96" s="1427"/>
      <c r="N96" s="1427"/>
      <c r="O96" s="1427"/>
      <c r="P96" s="1427"/>
      <c r="Q96" s="1427"/>
      <c r="R96" s="1427"/>
      <c r="S96" s="1427"/>
      <c r="T96" s="1427"/>
      <c r="U96" s="1427"/>
      <c r="V96" s="1427"/>
      <c r="W96" s="1427"/>
      <c r="X96" s="1427"/>
      <c r="Y96" s="1427"/>
      <c r="Z96" s="1427"/>
      <c r="AA96" s="1427"/>
      <c r="AB96" s="1427"/>
      <c r="AC96" s="1427"/>
      <c r="AD96" s="1427"/>
      <c r="AE96" s="1427"/>
      <c r="AF96" s="1427"/>
      <c r="AG96" s="1427"/>
      <c r="AH96" s="1427"/>
      <c r="AI96" s="1427"/>
      <c r="AJ96" s="1427"/>
      <c r="AK96" s="1427"/>
      <c r="AL96" s="1427"/>
      <c r="AM96" s="1427"/>
      <c r="AN96" s="1427"/>
      <c r="AO96" s="1427"/>
      <c r="AP96" s="1427"/>
      <c r="AQ96" s="1427"/>
      <c r="AR96" s="1427"/>
      <c r="AS96" s="1427"/>
      <c r="AT96" s="1427"/>
      <c r="AU96" s="1427"/>
      <c r="AV96" s="1427"/>
      <c r="AW96" s="1427"/>
      <c r="AX96" s="1427"/>
      <c r="AY96" s="1427"/>
      <c r="AZ96" s="1427"/>
      <c r="BA96" s="1427"/>
      <c r="BB96" s="1427"/>
      <c r="BC96" s="1427"/>
      <c r="BD96" s="1427"/>
      <c r="BE96" s="1427"/>
      <c r="BF96" s="1427"/>
      <c r="BG96" s="1427"/>
      <c r="BH96" s="1427"/>
      <c r="BI96" s="1427"/>
      <c r="BJ96" s="1427"/>
      <c r="BK96" s="1427"/>
      <c r="BL96" s="1427"/>
      <c r="BM96" s="1427"/>
      <c r="BN96" s="1427"/>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27"/>
      <c r="J97" s="1427"/>
      <c r="K97" s="1427"/>
      <c r="L97" s="1427"/>
      <c r="M97" s="1427"/>
      <c r="N97" s="1427"/>
      <c r="O97" s="1427"/>
      <c r="P97" s="1427"/>
      <c r="Q97" s="1427"/>
      <c r="R97" s="1427"/>
      <c r="S97" s="1427"/>
      <c r="T97" s="1427"/>
      <c r="U97" s="1427"/>
      <c r="V97" s="1427"/>
      <c r="W97" s="1427"/>
      <c r="X97" s="1427"/>
      <c r="Y97" s="1427"/>
      <c r="Z97" s="1427"/>
      <c r="AA97" s="1427"/>
      <c r="AB97" s="1427"/>
      <c r="AC97" s="1427"/>
      <c r="AD97" s="1427"/>
      <c r="AE97" s="1427"/>
      <c r="AF97" s="1427"/>
      <c r="AG97" s="1427"/>
      <c r="AH97" s="1427"/>
      <c r="AI97" s="1427"/>
      <c r="AJ97" s="1427"/>
      <c r="AK97" s="1427"/>
      <c r="AL97" s="1427"/>
      <c r="AM97" s="1427"/>
      <c r="AN97" s="1427"/>
      <c r="AO97" s="1427"/>
      <c r="AP97" s="1427"/>
      <c r="AQ97" s="1427"/>
      <c r="AR97" s="1427"/>
      <c r="AS97" s="1427"/>
      <c r="AT97" s="1427"/>
      <c r="AU97" s="1427"/>
      <c r="AV97" s="1427"/>
      <c r="AW97" s="1427"/>
      <c r="AX97" s="1427"/>
      <c r="AY97" s="1427"/>
      <c r="AZ97" s="1427"/>
      <c r="BA97" s="1427"/>
      <c r="BB97" s="1427"/>
      <c r="BC97" s="1427"/>
      <c r="BD97" s="1427"/>
      <c r="BE97" s="1427"/>
      <c r="BF97" s="1427"/>
      <c r="BG97" s="1427"/>
      <c r="BH97" s="1427"/>
      <c r="BI97" s="1427"/>
      <c r="BJ97" s="1427"/>
      <c r="BK97" s="1427"/>
      <c r="BL97" s="1427"/>
      <c r="BM97" s="1427"/>
      <c r="BN97" s="1427"/>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Scambiatore di calore</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Funzionamento dello scambiatore di calore</v>
      </c>
      <c r="K101" s="74"/>
      <c r="L101" s="74"/>
      <c r="M101" s="74"/>
      <c r="N101" s="74"/>
      <c r="O101" s="74"/>
      <c r="P101" s="74"/>
      <c r="Q101" s="74"/>
      <c r="R101" s="74"/>
      <c r="S101" s="74"/>
      <c r="T101" s="74"/>
      <c r="U101" s="95"/>
      <c r="V101" s="74"/>
      <c r="W101" s="74"/>
      <c r="X101" s="74"/>
      <c r="Y101" s="74"/>
      <c r="Z101" s="74"/>
      <c r="AA101" s="74"/>
      <c r="AB101" s="1416"/>
      <c r="AC101" s="1416"/>
      <c r="AD101" s="1416"/>
      <c r="AE101" s="1416"/>
      <c r="AF101" s="1416"/>
      <c r="AG101" s="1416"/>
      <c r="AH101" s="1416"/>
      <c r="AI101" s="1416"/>
      <c r="AJ101" s="1416"/>
      <c r="AK101" s="1416"/>
      <c r="AL101" s="1416"/>
      <c r="AM101" s="1416"/>
      <c r="AN101" s="1416"/>
      <c r="AO101" s="1416"/>
      <c r="AP101" s="1417"/>
      <c r="AQ101" s="32"/>
      <c r="AR101" s="32"/>
      <c r="AS101" s="32"/>
      <c r="AT101" s="32"/>
      <c r="AU101" s="74"/>
      <c r="AV101" s="74"/>
      <c r="AW101" s="74"/>
      <c r="AX101" s="74"/>
      <c r="AY101" s="74"/>
      <c r="AZ101" s="1416"/>
      <c r="BA101" s="1416"/>
      <c r="BB101" s="1416"/>
      <c r="BC101" s="1416"/>
      <c r="BD101" s="1416"/>
      <c r="BE101" s="1416"/>
      <c r="BF101" s="1416"/>
      <c r="BG101" s="1416"/>
      <c r="BH101" s="1416"/>
      <c r="BI101" s="1416"/>
      <c r="BJ101" s="1416"/>
      <c r="BK101" s="1416"/>
      <c r="BL101" s="1416"/>
      <c r="BM101" s="1416"/>
      <c r="BN101" s="1417"/>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e recupero del calore (funzione aggiuntiva)</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31" t="str">
        <f>X!C307</f>
        <v>Nel tool del freddo può scegliere se analizzare un impianto con funzione di free-cooling o con un recupero del calore.</v>
      </c>
      <c r="J105" s="1431"/>
      <c r="K105" s="1431"/>
      <c r="L105" s="1431"/>
      <c r="M105" s="1431"/>
      <c r="N105" s="1431"/>
      <c r="O105" s="1431"/>
      <c r="P105" s="1431"/>
      <c r="Q105" s="1431"/>
      <c r="R105" s="1431"/>
      <c r="S105" s="1431"/>
      <c r="T105" s="1431"/>
      <c r="U105" s="1431"/>
      <c r="V105" s="1431"/>
      <c r="W105" s="1431"/>
      <c r="X105" s="1431"/>
      <c r="Y105" s="1431"/>
      <c r="Z105" s="1431"/>
      <c r="AA105" s="1431"/>
      <c r="AB105" s="1431"/>
      <c r="AC105" s="1431"/>
      <c r="AD105" s="1431"/>
      <c r="AE105" s="1431"/>
      <c r="AF105" s="1431"/>
      <c r="AG105" s="1431"/>
      <c r="AH105" s="1431"/>
      <c r="AI105" s="1431"/>
      <c r="AJ105" s="1431"/>
      <c r="AK105" s="1431"/>
      <c r="AL105" s="1431"/>
      <c r="AM105" s="1431"/>
      <c r="AN105" s="1431"/>
      <c r="AO105" s="1431"/>
      <c r="AP105" s="1431"/>
      <c r="AQ105" s="1431"/>
      <c r="AR105" s="1431"/>
      <c r="AS105" s="1431"/>
      <c r="AT105" s="1431"/>
      <c r="AU105" s="1431"/>
      <c r="AV105" s="1431"/>
      <c r="AW105" s="1431"/>
      <c r="AX105" s="1431"/>
      <c r="AY105" s="1431"/>
      <c r="AZ105" s="1431"/>
      <c r="BA105" s="1431"/>
      <c r="BB105" s="1431"/>
      <c r="BC105" s="1431"/>
      <c r="BD105" s="1431"/>
      <c r="BE105" s="1431"/>
      <c r="BF105" s="1431"/>
      <c r="BG105" s="1431"/>
      <c r="BH105" s="1431"/>
      <c r="BI105" s="1431"/>
      <c r="BJ105" s="1431"/>
      <c r="BK105" s="1431"/>
      <c r="BL105" s="1431"/>
      <c r="BM105" s="1431"/>
      <c r="BN105" s="1431"/>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31" t="str">
        <f>X!C389</f>
        <v>Importante: il tool non può effettuare il calcolo di impianti che dispongono sia di free-cooling che di recupero del calore.</v>
      </c>
      <c r="J106" s="1431"/>
      <c r="K106" s="1431"/>
      <c r="L106" s="1431"/>
      <c r="M106" s="1431"/>
      <c r="N106" s="1431"/>
      <c r="O106" s="1431"/>
      <c r="P106" s="1431"/>
      <c r="Q106" s="1431"/>
      <c r="R106" s="1431"/>
      <c r="S106" s="1431"/>
      <c r="T106" s="1431"/>
      <c r="U106" s="1431"/>
      <c r="V106" s="1431"/>
      <c r="W106" s="1431"/>
      <c r="X106" s="1431"/>
      <c r="Y106" s="1431"/>
      <c r="Z106" s="1431"/>
      <c r="AA106" s="1431"/>
      <c r="AB106" s="1431"/>
      <c r="AC106" s="1431"/>
      <c r="AD106" s="1431"/>
      <c r="AE106" s="1431"/>
      <c r="AF106" s="1431"/>
      <c r="AG106" s="1431"/>
      <c r="AH106" s="1431"/>
      <c r="AI106" s="1431"/>
      <c r="AJ106" s="1431"/>
      <c r="AK106" s="1431"/>
      <c r="AL106" s="1431"/>
      <c r="AM106" s="1431"/>
      <c r="AN106" s="1431"/>
      <c r="AO106" s="1431"/>
      <c r="AP106" s="1431"/>
      <c r="AQ106" s="1431"/>
      <c r="AR106" s="1431"/>
      <c r="AS106" s="1431"/>
      <c r="AT106" s="1431"/>
      <c r="AU106" s="1431"/>
      <c r="AV106" s="1431"/>
      <c r="AW106" s="1431"/>
      <c r="AX106" s="1431"/>
      <c r="AY106" s="1431"/>
      <c r="AZ106" s="1431"/>
      <c r="BA106" s="1431"/>
      <c r="BB106" s="1431"/>
      <c r="BC106" s="1431"/>
      <c r="BD106" s="1431"/>
      <c r="BE106" s="1431"/>
      <c r="BF106" s="1431"/>
      <c r="BG106" s="1431"/>
      <c r="BH106" s="1431"/>
      <c r="BI106" s="1431"/>
      <c r="BJ106" s="1431"/>
      <c r="BK106" s="1431"/>
      <c r="BL106" s="1431"/>
      <c r="BM106" s="1431"/>
      <c r="BN106" s="1431"/>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32" t="str">
        <f>X!C390</f>
        <v xml:space="preserve">Nota bene: prendendo spunto dal libro «Klimakälte heute» (Climatizzazione oggi), nel tool del freddo utilizziamo il termine «calore» al posto del termine «calore di scarico» che ha una connotazione negativa. </v>
      </c>
      <c r="J107" s="1432"/>
      <c r="K107" s="1432"/>
      <c r="L107" s="1432"/>
      <c r="M107" s="1432"/>
      <c r="N107" s="1432"/>
      <c r="O107" s="1432"/>
      <c r="P107" s="1432"/>
      <c r="Q107" s="1432"/>
      <c r="R107" s="1432"/>
      <c r="S107" s="1432"/>
      <c r="T107" s="1432"/>
      <c r="U107" s="1432"/>
      <c r="V107" s="1432"/>
      <c r="W107" s="1432"/>
      <c r="X107" s="1432"/>
      <c r="Y107" s="1432"/>
      <c r="Z107" s="1432"/>
      <c r="AA107" s="1432"/>
      <c r="AB107" s="1432"/>
      <c r="AC107" s="1432"/>
      <c r="AD107" s="1432"/>
      <c r="AE107" s="1432"/>
      <c r="AF107" s="1432"/>
      <c r="AG107" s="1432"/>
      <c r="AH107" s="1432"/>
      <c r="AI107" s="1432"/>
      <c r="AJ107" s="1432"/>
      <c r="AK107" s="1432"/>
      <c r="AL107" s="1432"/>
      <c r="AM107" s="1432"/>
      <c r="AN107" s="1432"/>
      <c r="AO107" s="1432"/>
      <c r="AP107" s="1432"/>
      <c r="AQ107" s="1432"/>
      <c r="AR107" s="1432"/>
      <c r="AS107" s="1432"/>
      <c r="AT107" s="1432"/>
      <c r="AU107" s="1432"/>
      <c r="AV107" s="1432"/>
      <c r="AW107" s="1432"/>
      <c r="AX107" s="1432"/>
      <c r="AY107" s="1432"/>
      <c r="AZ107" s="1432"/>
      <c r="BA107" s="1432"/>
      <c r="BB107" s="1432"/>
      <c r="BC107" s="1432"/>
      <c r="BD107" s="1432"/>
      <c r="BE107" s="1432"/>
      <c r="BF107" s="1432"/>
      <c r="BG107" s="1432"/>
      <c r="BH107" s="1432"/>
      <c r="BI107" s="1432"/>
      <c r="BJ107" s="1432"/>
      <c r="BK107" s="1432"/>
      <c r="BL107" s="1432"/>
      <c r="BM107" s="1432"/>
      <c r="BN107" s="1432"/>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Quale funzione aggiuntiva vuole calcolare?</v>
      </c>
      <c r="J110" s="74"/>
      <c r="K110" s="74"/>
      <c r="L110" s="74"/>
      <c r="M110" s="74"/>
      <c r="N110" s="74"/>
      <c r="O110" s="74"/>
      <c r="P110" s="74"/>
      <c r="Q110" s="74"/>
      <c r="R110" s="74"/>
      <c r="S110" s="74"/>
      <c r="T110" s="74"/>
      <c r="U110" s="95"/>
      <c r="V110" s="74"/>
      <c r="W110" s="74"/>
      <c r="AA110" s="74"/>
      <c r="AB110" s="1412"/>
      <c r="AC110" s="1412"/>
      <c r="AD110" s="1412"/>
      <c r="AE110" s="1412"/>
      <c r="AF110" s="1412"/>
      <c r="AG110" s="1412"/>
      <c r="AH110" s="1412"/>
      <c r="AI110" s="1412"/>
      <c r="AJ110" s="1412"/>
      <c r="AK110" s="1412"/>
      <c r="AL110" s="1412"/>
      <c r="AM110" s="1412"/>
      <c r="AN110" s="1412"/>
      <c r="AO110" s="1412"/>
      <c r="AP110" s="1413"/>
      <c r="AQ110" s="32"/>
      <c r="AR110" s="32"/>
      <c r="AS110" s="32"/>
      <c r="AT110" s="32"/>
      <c r="AU110" s="74"/>
      <c r="AZ110" s="1412"/>
      <c r="BA110" s="1412"/>
      <c r="BB110" s="1412"/>
      <c r="BC110" s="1412"/>
      <c r="BD110" s="1412"/>
      <c r="BE110" s="1412"/>
      <c r="BF110" s="1412"/>
      <c r="BG110" s="1412"/>
      <c r="BH110" s="1412"/>
      <c r="BI110" s="1412"/>
      <c r="BJ110" s="1412"/>
      <c r="BK110" s="1412"/>
      <c r="BL110" s="1412"/>
      <c r="BM110" s="1412"/>
      <c r="BN110" s="1413"/>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Nessuna funzione aggiuntiva</v>
      </c>
      <c r="K112" s="74"/>
      <c r="L112" s="74"/>
      <c r="M112" s="74"/>
      <c r="N112" s="74"/>
      <c r="O112" s="74"/>
      <c r="P112" s="74"/>
      <c r="Q112" s="74"/>
      <c r="R112" s="74"/>
      <c r="S112" s="74"/>
      <c r="T112" s="74"/>
      <c r="U112" s="95"/>
      <c r="V112" s="74"/>
      <c r="W112" s="74"/>
      <c r="X112" s="1498">
        <f>AB112+AZ112</f>
        <v>2</v>
      </c>
      <c r="Y112" s="1499"/>
      <c r="Z112" s="1499"/>
      <c r="AA112" s="74"/>
      <c r="AB112" s="1497">
        <f>IF(AB113+AB114&lt;1,1,0)</f>
        <v>1</v>
      </c>
      <c r="AC112" s="1497"/>
      <c r="AD112" s="1497"/>
      <c r="AE112" s="1497"/>
      <c r="AF112" s="1497"/>
      <c r="AG112" s="1497"/>
      <c r="AH112" s="1497"/>
      <c r="AI112" s="1497"/>
      <c r="AJ112" s="1497"/>
      <c r="AK112" s="1497"/>
      <c r="AL112" s="1497"/>
      <c r="AM112" s="1497"/>
      <c r="AN112" s="1497"/>
      <c r="AO112" s="1497"/>
      <c r="AP112" s="1497"/>
      <c r="AQ112" s="32"/>
      <c r="AR112" s="32"/>
      <c r="AS112" s="32"/>
      <c r="AT112" s="32"/>
      <c r="AU112" s="74"/>
      <c r="AZ112" s="1497">
        <f>IF(AZ113+AZ114&lt;1,1,0)</f>
        <v>1</v>
      </c>
      <c r="BA112" s="1497"/>
      <c r="BB112" s="1497"/>
      <c r="BC112" s="1497"/>
      <c r="BD112" s="1497"/>
      <c r="BE112" s="1497"/>
      <c r="BF112" s="1497"/>
      <c r="BG112" s="1497"/>
      <c r="BH112" s="1497"/>
      <c r="BI112" s="1497"/>
      <c r="BJ112" s="1497"/>
      <c r="BK112" s="1497"/>
      <c r="BL112" s="1497"/>
      <c r="BM112" s="1497"/>
      <c r="BN112" s="1497"/>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Impianto con free-cooling</v>
      </c>
      <c r="K113" s="74"/>
      <c r="L113" s="74"/>
      <c r="M113" s="74"/>
      <c r="N113" s="74"/>
      <c r="O113" s="74"/>
      <c r="P113" s="74"/>
      <c r="Q113" s="74"/>
      <c r="R113" s="74"/>
      <c r="S113" s="74"/>
      <c r="T113" s="74"/>
      <c r="U113" s="95"/>
      <c r="V113" s="74"/>
      <c r="W113" s="74"/>
      <c r="X113" s="1499">
        <f>IF(AB113+AZ113&gt;0,1,0)</f>
        <v>0</v>
      </c>
      <c r="Y113" s="1499"/>
      <c r="Z113" s="1499"/>
      <c r="AA113" s="74"/>
      <c r="AB113" s="1497">
        <f>IF(AB110=J113,1,0)</f>
        <v>0</v>
      </c>
      <c r="AC113" s="1497"/>
      <c r="AD113" s="1497"/>
      <c r="AE113" s="1497"/>
      <c r="AF113" s="1497"/>
      <c r="AG113" s="1497"/>
      <c r="AH113" s="1497"/>
      <c r="AI113" s="1497"/>
      <c r="AJ113" s="1497"/>
      <c r="AK113" s="1497"/>
      <c r="AL113" s="1497"/>
      <c r="AM113" s="1497"/>
      <c r="AN113" s="1497"/>
      <c r="AO113" s="1497"/>
      <c r="AP113" s="1497"/>
      <c r="AQ113" s="32"/>
      <c r="AR113" s="32"/>
      <c r="AS113" s="32"/>
      <c r="AT113" s="32"/>
      <c r="AU113" s="74"/>
      <c r="AZ113" s="1497">
        <f>IF(AZ110=J113,1,0)</f>
        <v>0</v>
      </c>
      <c r="BA113" s="1497"/>
      <c r="BB113" s="1497"/>
      <c r="BC113" s="1497"/>
      <c r="BD113" s="1497"/>
      <c r="BE113" s="1497"/>
      <c r="BF113" s="1497"/>
      <c r="BG113" s="1497"/>
      <c r="BH113" s="1497"/>
      <c r="BI113" s="1497"/>
      <c r="BJ113" s="1497"/>
      <c r="BK113" s="1497"/>
      <c r="BL113" s="1497"/>
      <c r="BM113" s="1497"/>
      <c r="BN113" s="1497"/>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Impianto con recupero del calore</v>
      </c>
      <c r="K114" s="74"/>
      <c r="L114" s="74"/>
      <c r="M114" s="74"/>
      <c r="N114" s="74"/>
      <c r="O114" s="74"/>
      <c r="P114" s="74"/>
      <c r="Q114" s="74"/>
      <c r="R114" s="74"/>
      <c r="S114" s="74"/>
      <c r="T114" s="74"/>
      <c r="U114" s="95"/>
      <c r="V114" s="74"/>
      <c r="W114" s="74"/>
      <c r="X114" s="1499">
        <f>IF(AB114+AZ114&gt;0,1,0)</f>
        <v>0</v>
      </c>
      <c r="Y114" s="1499"/>
      <c r="Z114" s="1499"/>
      <c r="AA114" s="74"/>
      <c r="AB114" s="1497">
        <f>IF(AB110=J114,1,0)</f>
        <v>0</v>
      </c>
      <c r="AC114" s="1497"/>
      <c r="AD114" s="1497"/>
      <c r="AE114" s="1497"/>
      <c r="AF114" s="1497"/>
      <c r="AG114" s="1497"/>
      <c r="AH114" s="1497"/>
      <c r="AI114" s="1497"/>
      <c r="AJ114" s="1497"/>
      <c r="AK114" s="1497"/>
      <c r="AL114" s="1497"/>
      <c r="AM114" s="1497"/>
      <c r="AN114" s="1497"/>
      <c r="AO114" s="1497"/>
      <c r="AP114" s="1497"/>
      <c r="AQ114" s="32"/>
      <c r="AR114" s="32"/>
      <c r="AS114" s="32"/>
      <c r="AT114" s="32"/>
      <c r="AU114" s="74"/>
      <c r="AZ114" s="1497">
        <f>IF(AZ110=J114,1,0)</f>
        <v>0</v>
      </c>
      <c r="BA114" s="1497"/>
      <c r="BB114" s="1497"/>
      <c r="BC114" s="1497"/>
      <c r="BD114" s="1497"/>
      <c r="BE114" s="1497"/>
      <c r="BF114" s="1497"/>
      <c r="BG114" s="1497"/>
      <c r="BH114" s="1497"/>
      <c r="BI114" s="1497"/>
      <c r="BJ114" s="1497"/>
      <c r="BK114" s="1497"/>
      <c r="BL114" s="1497"/>
      <c r="BM114" s="1497"/>
      <c r="BN114" s="1497"/>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Temperatura di entrata acqua fredda</v>
      </c>
      <c r="K119" s="74"/>
      <c r="L119" s="74"/>
      <c r="M119" s="74"/>
      <c r="N119" s="74"/>
      <c r="O119" s="74"/>
      <c r="P119" s="74"/>
      <c r="Q119" s="74"/>
      <c r="R119" s="74"/>
      <c r="S119" s="74"/>
      <c r="T119" s="74"/>
      <c r="U119" s="95" t="s">
        <v>85</v>
      </c>
      <c r="V119" s="74"/>
      <c r="W119" s="74"/>
      <c r="X119" s="1410"/>
      <c r="Y119" s="1410"/>
      <c r="Z119" s="1411"/>
      <c r="AA119" s="74"/>
      <c r="AQ119" s="32"/>
      <c r="AR119" s="32"/>
      <c r="AS119" s="32"/>
      <c r="AT119" s="32"/>
      <c r="AU119" s="74"/>
      <c r="AV119" s="1410"/>
      <c r="AW119" s="1410"/>
      <c r="AX119" s="1411"/>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Altri strumenti ausiliari</v>
      </c>
      <c r="J121" s="392"/>
      <c r="K121" s="115"/>
      <c r="L121" s="74"/>
      <c r="M121" s="74"/>
      <c r="Y121" s="32"/>
      <c r="Z121" s="388" t="str">
        <f>X!$C$191</f>
        <v>P elettrica</v>
      </c>
      <c r="AA121" s="120"/>
      <c r="AB121" s="389" t="str">
        <f>X!$C$206</f>
        <v>Tipo di regolazione</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elettrica</v>
      </c>
      <c r="AY121" s="120"/>
      <c r="AZ121" s="389" t="str">
        <f>X!$C$206</f>
        <v>Tipo di regolazione</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14"/>
      <c r="J123" s="1414"/>
      <c r="K123" s="1414"/>
      <c r="L123" s="1414"/>
      <c r="M123" s="1414"/>
      <c r="N123" s="1414"/>
      <c r="O123" s="1414"/>
      <c r="P123" s="1414"/>
      <c r="Q123" s="1414"/>
      <c r="R123" s="1414"/>
      <c r="S123" s="1415"/>
      <c r="T123" s="74"/>
      <c r="U123" s="95" t="s">
        <v>83</v>
      </c>
      <c r="V123" s="74"/>
      <c r="W123" s="74"/>
      <c r="X123" s="1428"/>
      <c r="Y123" s="1428"/>
      <c r="Z123" s="1429"/>
      <c r="AA123" s="74"/>
      <c r="AB123" s="1416"/>
      <c r="AC123" s="1416"/>
      <c r="AD123" s="1416"/>
      <c r="AE123" s="1416"/>
      <c r="AF123" s="1416"/>
      <c r="AG123" s="1416"/>
      <c r="AH123" s="1416"/>
      <c r="AI123" s="1416"/>
      <c r="AJ123" s="1416"/>
      <c r="AK123" s="1416"/>
      <c r="AL123" s="1416"/>
      <c r="AM123" s="1416"/>
      <c r="AN123" s="1416"/>
      <c r="AO123" s="1416"/>
      <c r="AP123" s="1417"/>
      <c r="AQ123" s="32"/>
      <c r="AR123" s="32"/>
      <c r="AS123" s="32"/>
      <c r="AT123" s="32"/>
      <c r="AU123" s="74"/>
      <c r="AV123" s="1428"/>
      <c r="AW123" s="1428"/>
      <c r="AX123" s="1429"/>
      <c r="AY123" s="74"/>
      <c r="AZ123" s="1416"/>
      <c r="BA123" s="1416"/>
      <c r="BB123" s="1416"/>
      <c r="BC123" s="1416"/>
      <c r="BD123" s="1416"/>
      <c r="BE123" s="1416"/>
      <c r="BF123" s="1416"/>
      <c r="BG123" s="1416"/>
      <c r="BH123" s="1416"/>
      <c r="BI123" s="1416"/>
      <c r="BJ123" s="1416"/>
      <c r="BK123" s="1416"/>
      <c r="BL123" s="1416"/>
      <c r="BM123" s="1416"/>
      <c r="BN123" s="1417"/>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Inserimento dati d'esercizio</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18" t="str">
        <f>H51</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131" s="1418"/>
      <c r="J131" s="1418"/>
      <c r="K131" s="1418"/>
      <c r="L131" s="1418"/>
      <c r="M131" s="1418"/>
      <c r="N131" s="1418"/>
      <c r="O131" s="1418"/>
      <c r="P131" s="1418"/>
      <c r="Q131" s="1418"/>
      <c r="R131" s="1418"/>
      <c r="S131" s="1418"/>
      <c r="T131" s="1418"/>
      <c r="U131" s="1418"/>
      <c r="V131" s="1418"/>
      <c r="W131" s="1418"/>
      <c r="X131" s="1418"/>
      <c r="Y131" s="1418"/>
      <c r="Z131" s="1418"/>
      <c r="AA131" s="1418"/>
      <c r="AB131" s="1418"/>
      <c r="AC131" s="1418"/>
      <c r="AD131" s="1418"/>
      <c r="AE131" s="1418"/>
      <c r="AF131" s="1418"/>
      <c r="AG131" s="1418"/>
      <c r="AH131" s="1418"/>
      <c r="AI131" s="1418"/>
      <c r="AJ131" s="1418"/>
      <c r="AK131" s="1418"/>
      <c r="AL131" s="1418"/>
      <c r="AM131" s="1418"/>
      <c r="AN131" s="1418"/>
      <c r="AO131" s="1418"/>
      <c r="AP131" s="1418"/>
      <c r="AQ131" s="1418"/>
      <c r="AR131" s="1418"/>
      <c r="AS131" s="1418"/>
      <c r="AT131" s="1418"/>
      <c r="AU131" s="1418"/>
      <c r="AV131" s="1418"/>
      <c r="AW131" s="1418"/>
      <c r="AX131" s="1418"/>
      <c r="AY131" s="1418"/>
      <c r="AZ131" s="1418"/>
      <c r="BA131" s="1418"/>
      <c r="BB131" s="1418"/>
      <c r="BC131" s="1418"/>
      <c r="BD131" s="1418"/>
      <c r="BE131" s="1418"/>
      <c r="BF131" s="1418"/>
      <c r="BG131" s="1418"/>
      <c r="BH131" s="1418"/>
      <c r="BI131" s="1418"/>
      <c r="BJ131" s="1418"/>
      <c r="BK131" s="1418"/>
      <c r="BL131" s="1418"/>
      <c r="BM131" s="1418"/>
      <c r="BN131" s="1418"/>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85" t="str">
        <f>X!$C$114</f>
        <v>Primavera</v>
      </c>
      <c r="X135" s="1385"/>
      <c r="Y135" s="1385"/>
      <c r="Z135" s="1385"/>
      <c r="AA135" s="1401" t="str">
        <f>X!$C$212</f>
        <v>Estate</v>
      </c>
      <c r="AB135" s="1401"/>
      <c r="AC135" s="1401"/>
      <c r="AD135" s="1401"/>
      <c r="AE135" s="1385" t="str">
        <f>X!$C$120</f>
        <v>Autunno</v>
      </c>
      <c r="AF135" s="1385"/>
      <c r="AG135" s="1385"/>
      <c r="AH135" s="1385"/>
      <c r="AI135" s="1385" t="str">
        <f>X!$C$269</f>
        <v>Inverno</v>
      </c>
      <c r="AJ135" s="1385"/>
      <c r="AK135" s="1385"/>
      <c r="AL135" s="1385"/>
      <c r="AN135" s="1385" t="str">
        <f>X!$C$130</f>
        <v>Anno</v>
      </c>
      <c r="AO135" s="1350"/>
      <c r="AP135" s="1350"/>
      <c r="AQ135" s="58"/>
      <c r="AR135" s="58"/>
      <c r="AV135" s="1385" t="str">
        <f>X!$C$114</f>
        <v>Primavera</v>
      </c>
      <c r="AW135" s="1350"/>
      <c r="AX135" s="1350"/>
      <c r="AZ135" s="1401" t="str">
        <f>X!$C$212</f>
        <v>Estate</v>
      </c>
      <c r="BA135" s="1436"/>
      <c r="BB135" s="1436"/>
      <c r="BD135" s="1385" t="str">
        <f>X!$C$120</f>
        <v>Autunno</v>
      </c>
      <c r="BE135" s="1350"/>
      <c r="BF135" s="1350"/>
      <c r="BH135" s="1385" t="str">
        <f>X!$C$269</f>
        <v>Inverno</v>
      </c>
      <c r="BI135" s="1350"/>
      <c r="BJ135" s="1350"/>
      <c r="BL135" s="1385" t="str">
        <f>X!$C$130</f>
        <v>Anno</v>
      </c>
      <c r="BM135" s="1350"/>
      <c r="BN135" s="1350"/>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Temperatura esterna (5:40 - 17:40 h)</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377">
        <f>AD597</f>
        <v>0</v>
      </c>
      <c r="Y139" s="1377"/>
      <c r="Z139" s="1377"/>
      <c r="AA139" s="132"/>
      <c r="AB139" s="1377">
        <f>AD608</f>
        <v>0</v>
      </c>
      <c r="AC139" s="1377"/>
      <c r="AD139" s="1377"/>
      <c r="AE139" s="133"/>
      <c r="AF139" s="1377">
        <f>AD618</f>
        <v>0</v>
      </c>
      <c r="AG139" s="1377"/>
      <c r="AH139" s="1377"/>
      <c r="AI139" s="133"/>
      <c r="AJ139" s="1377">
        <f>AD628</f>
        <v>0</v>
      </c>
      <c r="AK139" s="1377"/>
      <c r="AL139" s="1377"/>
      <c r="AM139" s="106"/>
      <c r="AN139" s="1435">
        <f>AVERAGE(X139:AL139)</f>
        <v>0</v>
      </c>
      <c r="AO139" s="1435"/>
      <c r="AP139" s="1435"/>
      <c r="AQ139" s="136"/>
      <c r="AR139" s="441" t="s">
        <v>266</v>
      </c>
      <c r="AS139" s="441" t="s">
        <v>266</v>
      </c>
      <c r="AT139" s="441" t="s">
        <v>266</v>
      </c>
      <c r="AU139" s="106"/>
      <c r="AV139" s="1377">
        <f>X139</f>
        <v>0</v>
      </c>
      <c r="AW139" s="1293"/>
      <c r="AX139" s="1293"/>
      <c r="AY139" s="106"/>
      <c r="AZ139" s="1377">
        <f>AB139</f>
        <v>0</v>
      </c>
      <c r="BA139" s="1293"/>
      <c r="BB139" s="1293"/>
      <c r="BC139" s="135"/>
      <c r="BD139" s="1377">
        <f>AF139</f>
        <v>0</v>
      </c>
      <c r="BE139" s="1293"/>
      <c r="BF139" s="1293"/>
      <c r="BG139" s="135"/>
      <c r="BH139" s="1377">
        <f>AJ139</f>
        <v>0</v>
      </c>
      <c r="BI139" s="1293"/>
      <c r="BJ139" s="1293"/>
      <c r="BK139" s="106"/>
      <c r="BL139" s="1435">
        <f>AN139</f>
        <v>0</v>
      </c>
      <c r="BM139" s="1359"/>
      <c r="BN139" s="1359"/>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Approvazione del progettista per il progetto</v>
      </c>
      <c r="J141" s="74"/>
      <c r="K141" s="74"/>
      <c r="L141" s="74"/>
      <c r="M141" s="74"/>
      <c r="N141" s="74"/>
      <c r="O141" s="74"/>
      <c r="P141" s="74"/>
      <c r="Q141" s="74"/>
      <c r="R141" s="74"/>
      <c r="S141" s="74"/>
      <c r="T141" s="74"/>
      <c r="U141" s="95" t="s">
        <v>85</v>
      </c>
      <c r="V141" s="74"/>
      <c r="W141" s="74"/>
      <c r="X141" s="1433"/>
      <c r="Y141" s="1433"/>
      <c r="Z141" s="1434"/>
      <c r="AA141" s="132"/>
      <c r="AB141" s="1433"/>
      <c r="AC141" s="1433"/>
      <c r="AD141" s="1434"/>
      <c r="AE141" s="133"/>
      <c r="AF141" s="1433"/>
      <c r="AG141" s="1433"/>
      <c r="AH141" s="1434"/>
      <c r="AI141" s="133"/>
      <c r="AJ141" s="1433"/>
      <c r="AK141" s="1433"/>
      <c r="AL141" s="1434"/>
      <c r="AM141" s="106"/>
      <c r="AN141" s="1303">
        <f>IF(SUM(X141:AL141)=0,0,AVERAGE(X141:AL141))</f>
        <v>0</v>
      </c>
      <c r="AO141" s="1303"/>
      <c r="AP141" s="1303"/>
      <c r="AQ141" s="152"/>
      <c r="AR141" s="441" t="s">
        <v>266</v>
      </c>
      <c r="AS141" s="441" t="s">
        <v>266</v>
      </c>
      <c r="AT141" s="441" t="s">
        <v>266</v>
      </c>
      <c r="AU141" s="70"/>
      <c r="AV141" s="1381"/>
      <c r="AW141" s="1381"/>
      <c r="AX141" s="1382"/>
      <c r="AY141" s="106"/>
      <c r="AZ141" s="1381"/>
      <c r="BA141" s="1381"/>
      <c r="BB141" s="1382"/>
      <c r="BC141" s="135"/>
      <c r="BD141" s="1381"/>
      <c r="BE141" s="1381"/>
      <c r="BF141" s="1382"/>
      <c r="BG141" s="135"/>
      <c r="BH141" s="1381"/>
      <c r="BI141" s="1381"/>
      <c r="BJ141" s="1382"/>
      <c r="BK141" s="106"/>
      <c r="BL141" s="1435">
        <f>IF(SUM(AV141:BJ141)=0,0,AVERAGE(AV141:BJ141))</f>
        <v>0</v>
      </c>
      <c r="BM141" s="1359"/>
      <c r="BN141" s="1359"/>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Temperature d'esercizio effettive</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Temperatura d'evaporazione</v>
      </c>
      <c r="J145" s="74"/>
      <c r="K145" s="74"/>
      <c r="L145" s="74"/>
      <c r="M145" s="74"/>
      <c r="N145" s="74"/>
      <c r="O145" s="74"/>
      <c r="P145" s="74"/>
      <c r="Q145" s="74"/>
      <c r="R145" s="74"/>
      <c r="S145" s="74"/>
      <c r="T145" s="74"/>
      <c r="U145" s="95" t="s">
        <v>85</v>
      </c>
      <c r="V145" s="74"/>
      <c r="W145" s="74"/>
      <c r="X145" s="1378"/>
      <c r="Y145" s="1378"/>
      <c r="Z145" s="1379"/>
      <c r="AA145" s="132"/>
      <c r="AB145" s="1378"/>
      <c r="AC145" s="1378"/>
      <c r="AD145" s="1379"/>
      <c r="AE145" s="133"/>
      <c r="AF145" s="1378"/>
      <c r="AG145" s="1378"/>
      <c r="AH145" s="1379"/>
      <c r="AI145" s="133"/>
      <c r="AJ145" s="1378"/>
      <c r="AK145" s="1378"/>
      <c r="AL145" s="1379"/>
      <c r="AM145" s="106"/>
      <c r="AN145" s="1303"/>
      <c r="AO145" s="1303"/>
      <c r="AP145" s="1303"/>
      <c r="AQ145" s="152"/>
      <c r="AR145" s="152"/>
      <c r="AS145" s="70"/>
      <c r="AT145" s="70"/>
      <c r="AU145" s="70"/>
      <c r="AV145" s="1464"/>
      <c r="AW145" s="1464"/>
      <c r="AX145" s="1465"/>
      <c r="AY145" s="138"/>
      <c r="AZ145" s="1464"/>
      <c r="BA145" s="1464"/>
      <c r="BB145" s="1465"/>
      <c r="BC145" s="139"/>
      <c r="BD145" s="1464"/>
      <c r="BE145" s="1464"/>
      <c r="BF145" s="1465"/>
      <c r="BG145" s="139"/>
      <c r="BH145" s="1464"/>
      <c r="BI145" s="1464"/>
      <c r="BJ145" s="1465"/>
      <c r="BK145" s="106"/>
      <c r="BL145" s="1359"/>
      <c r="BM145" s="1359"/>
      <c r="BN145" s="1359"/>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Temperatura condensazione</v>
      </c>
      <c r="J147" s="74"/>
      <c r="K147" s="74"/>
      <c r="L147" s="74"/>
      <c r="M147" s="74"/>
      <c r="N147" s="74"/>
      <c r="O147" s="74"/>
      <c r="P147" s="74"/>
      <c r="Q147" s="74"/>
      <c r="R147" s="74"/>
      <c r="S147" s="74"/>
      <c r="T147" s="74"/>
      <c r="U147" s="95" t="s">
        <v>85</v>
      </c>
      <c r="V147" s="74"/>
      <c r="W147" s="74"/>
      <c r="X147" s="1378"/>
      <c r="Y147" s="1378"/>
      <c r="Z147" s="1379"/>
      <c r="AA147" s="454" t="str">
        <f>AA721</f>
        <v/>
      </c>
      <c r="AB147" s="1378"/>
      <c r="AC147" s="1378"/>
      <c r="AD147" s="1379"/>
      <c r="AE147" s="454" t="str">
        <f>AE721</f>
        <v/>
      </c>
      <c r="AF147" s="1378"/>
      <c r="AG147" s="1378"/>
      <c r="AH147" s="1379"/>
      <c r="AI147" s="454" t="str">
        <f>AI721</f>
        <v/>
      </c>
      <c r="AJ147" s="1378"/>
      <c r="AK147" s="1378"/>
      <c r="AL147" s="1379"/>
      <c r="AM147" s="454" t="str">
        <f>AM721</f>
        <v/>
      </c>
      <c r="AN147" s="1421"/>
      <c r="AO147" s="1421"/>
      <c r="AP147" s="1421"/>
      <c r="AQ147" s="152"/>
      <c r="AR147" s="453"/>
      <c r="AS147" s="70"/>
      <c r="AT147" s="70"/>
      <c r="AU147" s="70"/>
      <c r="AV147" s="1464"/>
      <c r="AW147" s="1464"/>
      <c r="AX147" s="1465"/>
      <c r="AY147" s="454"/>
      <c r="AZ147" s="1464"/>
      <c r="BA147" s="1464"/>
      <c r="BB147" s="1465"/>
      <c r="BC147" s="454"/>
      <c r="BD147" s="1464"/>
      <c r="BE147" s="1464"/>
      <c r="BF147" s="1465"/>
      <c r="BG147" s="454"/>
      <c r="BH147" s="1464"/>
      <c r="BI147" s="1464"/>
      <c r="BJ147" s="1465"/>
      <c r="BK147" s="454" t="str">
        <f>BK721</f>
        <v/>
      </c>
      <c r="BL147" s="1477"/>
      <c r="BM147" s="1477"/>
      <c r="BN147" s="1477"/>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76" t="str">
        <f>X723</f>
        <v/>
      </c>
      <c r="Y149" s="1476"/>
      <c r="Z149" s="1476"/>
      <c r="AA149" s="1476"/>
      <c r="AB149" s="1476"/>
      <c r="AC149" s="1476"/>
      <c r="AD149" s="1476"/>
      <c r="AE149" s="1476"/>
      <c r="AF149" s="1476"/>
      <c r="AG149" s="1476"/>
      <c r="AH149" s="1476"/>
      <c r="AI149" s="1476"/>
      <c r="AJ149" s="1476"/>
      <c r="AK149" s="1476"/>
      <c r="AL149" s="1476"/>
      <c r="AM149" s="1476"/>
      <c r="AN149" s="1476"/>
      <c r="AO149" s="1476"/>
      <c r="AP149" s="1476"/>
      <c r="AQ149" s="152"/>
      <c r="AR149" s="152"/>
      <c r="AS149" s="70"/>
      <c r="AT149" s="70"/>
      <c r="AU149" s="70"/>
      <c r="AV149" s="1476" t="str">
        <f>AV723</f>
        <v/>
      </c>
      <c r="AW149" s="1476"/>
      <c r="AX149" s="1476"/>
      <c r="AY149" s="1476"/>
      <c r="AZ149" s="1476"/>
      <c r="BA149" s="1476"/>
      <c r="BB149" s="1476"/>
      <c r="BC149" s="1476"/>
      <c r="BD149" s="1476"/>
      <c r="BE149" s="1476"/>
      <c r="BF149" s="1476"/>
      <c r="BG149" s="1476"/>
      <c r="BH149" s="1476"/>
      <c r="BI149" s="1476"/>
      <c r="BJ149" s="1476"/>
      <c r="BK149" s="1476"/>
      <c r="BL149" s="1476"/>
      <c r="BM149" s="1476"/>
      <c r="BN149" s="147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Potenza elettrica assorbita compressore</v>
      </c>
      <c r="J151" s="74"/>
      <c r="K151" s="74"/>
      <c r="L151" s="74"/>
      <c r="M151" s="74"/>
      <c r="N151" s="74"/>
      <c r="O151" s="130"/>
      <c r="P151" s="74"/>
      <c r="Q151" s="74"/>
      <c r="R151" s="74"/>
      <c r="S151" s="74"/>
      <c r="T151" s="74"/>
      <c r="U151" s="95"/>
      <c r="V151" s="74"/>
      <c r="W151" s="74"/>
      <c r="X151" s="1377" t="str">
        <f>CONCATENATE(X145,"/ +",X147)</f>
        <v>/ +</v>
      </c>
      <c r="Y151" s="1377"/>
      <c r="Z151" s="1377"/>
      <c r="AA151" s="132"/>
      <c r="AB151" s="1377" t="str">
        <f>CONCATENATE(AB145,"/ +",AB147)</f>
        <v>/ +</v>
      </c>
      <c r="AC151" s="1377"/>
      <c r="AD151" s="1377"/>
      <c r="AE151" s="133"/>
      <c r="AF151" s="1377" t="str">
        <f>CONCATENATE(AF145,"/ +",AF147)</f>
        <v>/ +</v>
      </c>
      <c r="AG151" s="1377"/>
      <c r="AH151" s="1377"/>
      <c r="AI151" s="133"/>
      <c r="AJ151" s="1377" t="str">
        <f>CONCATENATE(AJ145,"/ +",AJ147)</f>
        <v>/ +</v>
      </c>
      <c r="AK151" s="1377"/>
      <c r="AL151" s="1377"/>
      <c r="AM151" s="106"/>
      <c r="AN151" s="134"/>
      <c r="AO151" s="134"/>
      <c r="AP151" s="134"/>
      <c r="AQ151" s="134"/>
      <c r="AR151" s="441" t="s">
        <v>266</v>
      </c>
      <c r="AS151" s="441" t="s">
        <v>266</v>
      </c>
      <c r="AT151" s="441" t="s">
        <v>266</v>
      </c>
      <c r="AU151" s="106"/>
      <c r="AV151" s="1377" t="str">
        <f>CONCATENATE(AV145,"/ +",AV147)</f>
        <v>/ +</v>
      </c>
      <c r="AW151" s="1377"/>
      <c r="AX151" s="1377"/>
      <c r="AY151" s="106"/>
      <c r="AZ151" s="1377" t="str">
        <f>CONCATENATE(AZ145,"/ +",AZ147)</f>
        <v>/ +</v>
      </c>
      <c r="BA151" s="1377"/>
      <c r="BB151" s="1377"/>
      <c r="BC151" s="135"/>
      <c r="BD151" s="1377" t="str">
        <f>CONCATENATE(BD145,"/ +",BD147)</f>
        <v>/ +</v>
      </c>
      <c r="BE151" s="1377"/>
      <c r="BF151" s="1377"/>
      <c r="BG151" s="135"/>
      <c r="BH151" s="1377" t="str">
        <f>CONCATENATE(BH145,"/ +",BH147)</f>
        <v>/ +</v>
      </c>
      <c r="BI151" s="1377"/>
      <c r="BJ151" s="1377"/>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Compressore 1</v>
      </c>
      <c r="J153" s="74"/>
      <c r="K153" s="74"/>
      <c r="M153" s="74"/>
      <c r="P153" s="74"/>
      <c r="Q153" s="74"/>
      <c r="U153" s="95" t="s">
        <v>163</v>
      </c>
      <c r="W153" s="74"/>
      <c r="X153" s="1383"/>
      <c r="Y153" s="1383"/>
      <c r="Z153" s="1384"/>
      <c r="AA153" s="138"/>
      <c r="AB153" s="1383"/>
      <c r="AC153" s="1383"/>
      <c r="AD153" s="1384"/>
      <c r="AE153" s="139"/>
      <c r="AF153" s="1383"/>
      <c r="AG153" s="1383"/>
      <c r="AH153" s="1384"/>
      <c r="AI153" s="139"/>
      <c r="AJ153" s="1383"/>
      <c r="AK153" s="1383"/>
      <c r="AL153" s="1384"/>
      <c r="AM153" s="126"/>
      <c r="AN153" s="1303"/>
      <c r="AO153" s="1303"/>
      <c r="AP153" s="1303"/>
      <c r="AQ153" s="152"/>
      <c r="AR153" s="152"/>
      <c r="AS153" s="138"/>
      <c r="AT153" s="138"/>
      <c r="AU153" s="138"/>
      <c r="AV153" s="1383"/>
      <c r="AW153" s="1383"/>
      <c r="AX153" s="1384"/>
      <c r="AY153" s="138"/>
      <c r="AZ153" s="1383"/>
      <c r="BA153" s="1383"/>
      <c r="BB153" s="1384"/>
      <c r="BC153" s="139"/>
      <c r="BD153" s="1383"/>
      <c r="BE153" s="1383"/>
      <c r="BF153" s="1384"/>
      <c r="BG153" s="139"/>
      <c r="BH153" s="1383"/>
      <c r="BI153" s="1383"/>
      <c r="BJ153" s="1384"/>
      <c r="BK153" s="106"/>
      <c r="BL153" s="1359"/>
      <c r="BM153" s="1359"/>
      <c r="BN153" s="1359"/>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Compressore 2</v>
      </c>
      <c r="J155" s="74"/>
      <c r="K155" s="74"/>
      <c r="L155" s="27"/>
      <c r="M155" s="74"/>
      <c r="N155" s="27"/>
      <c r="O155" s="27"/>
      <c r="P155" s="74"/>
      <c r="Q155" s="74"/>
      <c r="R155" s="27"/>
      <c r="S155" s="27"/>
      <c r="T155" s="27"/>
      <c r="U155" s="95" t="s">
        <v>163</v>
      </c>
      <c r="W155" s="141"/>
      <c r="X155" s="1383"/>
      <c r="Y155" s="1383"/>
      <c r="Z155" s="1384"/>
      <c r="AA155" s="138"/>
      <c r="AB155" s="1383"/>
      <c r="AC155" s="1383"/>
      <c r="AD155" s="1384"/>
      <c r="AE155" s="139"/>
      <c r="AF155" s="1383"/>
      <c r="AG155" s="1383"/>
      <c r="AH155" s="1384"/>
      <c r="AI155" s="139"/>
      <c r="AJ155" s="1383"/>
      <c r="AK155" s="1383"/>
      <c r="AL155" s="1384"/>
      <c r="AM155" s="143"/>
      <c r="AN155" s="1466"/>
      <c r="AO155" s="1466"/>
      <c r="AP155" s="1466"/>
      <c r="AQ155" s="321"/>
      <c r="AR155" s="321"/>
      <c r="AS155" s="143"/>
      <c r="AT155" s="143"/>
      <c r="AU155" s="143"/>
      <c r="AV155" s="1383"/>
      <c r="AW155" s="1383"/>
      <c r="AX155" s="1384"/>
      <c r="AY155" s="138"/>
      <c r="AZ155" s="1383"/>
      <c r="BA155" s="1383"/>
      <c r="BB155" s="1384"/>
      <c r="BC155" s="139"/>
      <c r="BD155" s="1383"/>
      <c r="BE155" s="1383"/>
      <c r="BF155" s="1384"/>
      <c r="BG155" s="139"/>
      <c r="BH155" s="1383"/>
      <c r="BI155" s="1383"/>
      <c r="BJ155" s="1384"/>
      <c r="BK155" s="144"/>
      <c r="BL155" s="1470"/>
      <c r="BM155" s="1470"/>
      <c r="BN155" s="1470"/>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Compressore 3</v>
      </c>
      <c r="J157" s="74"/>
      <c r="K157" s="74"/>
      <c r="L157" s="27"/>
      <c r="M157" s="74"/>
      <c r="N157" s="27"/>
      <c r="O157" s="27"/>
      <c r="P157" s="74"/>
      <c r="Q157" s="74"/>
      <c r="R157" s="27"/>
      <c r="S157" s="27"/>
      <c r="T157" s="27"/>
      <c r="U157" s="95" t="s">
        <v>163</v>
      </c>
      <c r="W157" s="141"/>
      <c r="X157" s="1383"/>
      <c r="Y157" s="1383"/>
      <c r="Z157" s="1384"/>
      <c r="AA157" s="138"/>
      <c r="AB157" s="1383"/>
      <c r="AC157" s="1383"/>
      <c r="AD157" s="1384"/>
      <c r="AE157" s="139"/>
      <c r="AF157" s="1383"/>
      <c r="AG157" s="1383"/>
      <c r="AH157" s="1384"/>
      <c r="AI157" s="139"/>
      <c r="AJ157" s="1383"/>
      <c r="AK157" s="1383"/>
      <c r="AL157" s="1384"/>
      <c r="AM157" s="143"/>
      <c r="AN157" s="1466"/>
      <c r="AO157" s="1466"/>
      <c r="AP157" s="1466"/>
      <c r="AQ157" s="321"/>
      <c r="AR157" s="321"/>
      <c r="AS157" s="143"/>
      <c r="AT157" s="143"/>
      <c r="AU157" s="143"/>
      <c r="AV157" s="1383"/>
      <c r="AW157" s="1383"/>
      <c r="AX157" s="1384"/>
      <c r="AY157" s="138"/>
      <c r="AZ157" s="1383"/>
      <c r="BA157" s="1383"/>
      <c r="BB157" s="1384"/>
      <c r="BC157" s="139"/>
      <c r="BD157" s="1383"/>
      <c r="BE157" s="1383"/>
      <c r="BF157" s="1384"/>
      <c r="BG157" s="139"/>
      <c r="BH157" s="1383"/>
      <c r="BI157" s="1383"/>
      <c r="BJ157" s="1384"/>
      <c r="BK157" s="144"/>
      <c r="BL157" s="1470"/>
      <c r="BM157" s="1470"/>
      <c r="BN157" s="1470"/>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Compressore 4</v>
      </c>
      <c r="J159" s="74"/>
      <c r="K159" s="74"/>
      <c r="L159" s="27"/>
      <c r="M159" s="74"/>
      <c r="N159" s="27"/>
      <c r="O159" s="27"/>
      <c r="P159" s="74"/>
      <c r="Q159" s="74"/>
      <c r="R159" s="27"/>
      <c r="S159" s="27"/>
      <c r="T159" s="27"/>
      <c r="U159" s="95" t="s">
        <v>163</v>
      </c>
      <c r="W159" s="147"/>
      <c r="X159" s="1383"/>
      <c r="Y159" s="1383"/>
      <c r="Z159" s="1384"/>
      <c r="AA159" s="138"/>
      <c r="AB159" s="1383"/>
      <c r="AC159" s="1383"/>
      <c r="AD159" s="1384"/>
      <c r="AE159" s="139"/>
      <c r="AF159" s="1383"/>
      <c r="AG159" s="1383"/>
      <c r="AH159" s="1384"/>
      <c r="AI159" s="139"/>
      <c r="AJ159" s="1383"/>
      <c r="AK159" s="1383"/>
      <c r="AL159" s="1384"/>
      <c r="AM159" s="148"/>
      <c r="AN159" s="1467"/>
      <c r="AO159" s="1467"/>
      <c r="AP159" s="1467"/>
      <c r="AQ159" s="324"/>
      <c r="AR159" s="324"/>
      <c r="AS159" s="148"/>
      <c r="AT159" s="148"/>
      <c r="AU159" s="148"/>
      <c r="AV159" s="1383"/>
      <c r="AW159" s="1383"/>
      <c r="AX159" s="1384"/>
      <c r="AY159" s="138"/>
      <c r="AZ159" s="1383"/>
      <c r="BA159" s="1383"/>
      <c r="BB159" s="1384"/>
      <c r="BC159" s="139"/>
      <c r="BD159" s="1383"/>
      <c r="BE159" s="1383"/>
      <c r="BF159" s="1384"/>
      <c r="BG159" s="139"/>
      <c r="BH159" s="1383"/>
      <c r="BI159" s="1383"/>
      <c r="BJ159" s="1384"/>
      <c r="BK159" s="149"/>
      <c r="BL159" s="1430"/>
      <c r="BM159" s="1430"/>
      <c r="BN159" s="1430"/>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Totale</v>
      </c>
      <c r="J161" s="115"/>
      <c r="K161" s="115"/>
      <c r="L161" s="115"/>
      <c r="M161" s="115"/>
      <c r="N161" s="115"/>
      <c r="O161" s="115"/>
      <c r="P161" s="115"/>
      <c r="Q161" s="115"/>
      <c r="R161" s="115"/>
      <c r="S161" s="115"/>
      <c r="T161" s="115"/>
      <c r="U161" s="151" t="s">
        <v>163</v>
      </c>
      <c r="V161" s="124"/>
      <c r="W161" s="115"/>
      <c r="X161" s="1303">
        <f>IF($X$63=4,SUM(X153:Z159),IF($X$63=3,SUM(X153:Z157),IF($X$63=2,X155+X153,X153)))</f>
        <v>0</v>
      </c>
      <c r="Y161" s="1303"/>
      <c r="Z161" s="1303"/>
      <c r="AA161" s="152"/>
      <c r="AB161" s="1303">
        <f>IF($X$63=4,SUM(AB153:AD159),IF($X$63=3,SUM(AB153:AD157),IF($X$63=2,AB155+AB153,AB153)))</f>
        <v>0</v>
      </c>
      <c r="AC161" s="1303"/>
      <c r="AD161" s="1303"/>
      <c r="AE161" s="153"/>
      <c r="AF161" s="1303">
        <f>IF($X$63=4,SUM(AF153:AH159),IF($X$63=3,SUM(AF153:AH157),IF($X$63=2,AF155+AF153,AF153)))</f>
        <v>0</v>
      </c>
      <c r="AG161" s="1303"/>
      <c r="AH161" s="1303"/>
      <c r="AI161" s="153"/>
      <c r="AJ161" s="1303">
        <f>IF($X$63=4,SUM(AJ153:AL159),IF($X$63=3,SUM(AJ153:AL157),IF($X$63=2,AJ155+AJ153,AJ153)))</f>
        <v>0</v>
      </c>
      <c r="AK161" s="1303"/>
      <c r="AL161" s="1303"/>
      <c r="AM161" s="126"/>
      <c r="AN161" s="1303"/>
      <c r="AO161" s="1303"/>
      <c r="AP161" s="1303"/>
      <c r="AQ161" s="152"/>
      <c r="AR161" s="152"/>
      <c r="AS161" s="138"/>
      <c r="AT161" s="138"/>
      <c r="AU161" s="138"/>
      <c r="AV161" s="1303">
        <f>IF($AV$63=4,SUM(AV153:AX159),IF($AV$63=3,SUM(AV153:AX157),IF($AV$63=2,AV155+AV153,AV153)))</f>
        <v>0</v>
      </c>
      <c r="AW161" s="1303"/>
      <c r="AX161" s="1303"/>
      <c r="AY161" s="152"/>
      <c r="AZ161" s="1303">
        <f>IF($AV$63=4,SUM(AZ153:BB159),IF($AV$63=3,SUM(AZ153:BB157),IF($AV$63=2,AZ155+AZ153,AZ153)))</f>
        <v>0</v>
      </c>
      <c r="BA161" s="1303"/>
      <c r="BB161" s="1303"/>
      <c r="BC161" s="153"/>
      <c r="BD161" s="1303">
        <f>IF($AV$63=4,SUM(BD153:BF159),IF($AV$63=3,SUM(BD153:BF157),IF($AV$63=2,BD155+BD153,BD153)))</f>
        <v>0</v>
      </c>
      <c r="BE161" s="1303"/>
      <c r="BF161" s="1303"/>
      <c r="BG161" s="153"/>
      <c r="BH161" s="1303">
        <f>IF($AV$63=4,SUM(BH153:BJ159),IF($AV$63=3,SUM(BH153:BJ157),IF($AV$63=2,BH155+BH153,BH153)))</f>
        <v>0</v>
      </c>
      <c r="BI161" s="1303"/>
      <c r="BJ161" s="1303"/>
      <c r="BK161" s="106"/>
      <c r="BL161" s="1359"/>
      <c r="BM161" s="1359"/>
      <c r="BN161" s="1359"/>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Potenza di raffreddamento compressore</v>
      </c>
      <c r="J163" s="74"/>
      <c r="K163" s="74"/>
      <c r="L163" s="74"/>
      <c r="M163" s="74"/>
      <c r="N163" s="74"/>
      <c r="O163" s="130"/>
      <c r="P163" s="74"/>
      <c r="Q163" s="74"/>
      <c r="R163" s="74"/>
      <c r="S163" s="74"/>
      <c r="T163" s="74"/>
      <c r="U163" s="95"/>
      <c r="V163" s="74"/>
      <c r="W163" s="74"/>
      <c r="X163" s="1377" t="str">
        <f>X151</f>
        <v>/ +</v>
      </c>
      <c r="Y163" s="1377"/>
      <c r="Z163" s="1377"/>
      <c r="AA163" s="132"/>
      <c r="AB163" s="1377" t="str">
        <f>AB151</f>
        <v>/ +</v>
      </c>
      <c r="AC163" s="1377"/>
      <c r="AD163" s="1377"/>
      <c r="AE163" s="133"/>
      <c r="AF163" s="1377" t="str">
        <f>AF151</f>
        <v>/ +</v>
      </c>
      <c r="AG163" s="1377"/>
      <c r="AH163" s="1377"/>
      <c r="AI163" s="133"/>
      <c r="AJ163" s="1377" t="str">
        <f>AJ151</f>
        <v>/ +</v>
      </c>
      <c r="AK163" s="1377"/>
      <c r="AL163" s="1377"/>
      <c r="AM163" s="106"/>
      <c r="AN163" s="134"/>
      <c r="AO163" s="134"/>
      <c r="AP163" s="134"/>
      <c r="AQ163" s="134"/>
      <c r="AR163" s="441" t="s">
        <v>266</v>
      </c>
      <c r="AS163" s="441" t="s">
        <v>266</v>
      </c>
      <c r="AT163" s="441" t="s">
        <v>266</v>
      </c>
      <c r="AU163" s="106"/>
      <c r="AV163" s="1377" t="str">
        <f>AV151</f>
        <v>/ +</v>
      </c>
      <c r="AW163" s="1377"/>
      <c r="AX163" s="1377"/>
      <c r="AY163" s="106"/>
      <c r="AZ163" s="1377" t="str">
        <f>AZ151</f>
        <v>/ +</v>
      </c>
      <c r="BA163" s="1377"/>
      <c r="BB163" s="1377"/>
      <c r="BC163" s="135"/>
      <c r="BD163" s="1377" t="str">
        <f>BD151</f>
        <v>/ +</v>
      </c>
      <c r="BE163" s="1377"/>
      <c r="BF163" s="1377"/>
      <c r="BG163" s="135"/>
      <c r="BH163" s="1377" t="str">
        <f>BH151</f>
        <v>/ +</v>
      </c>
      <c r="BI163" s="1377"/>
      <c r="BJ163" s="1377"/>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Compressore 1</v>
      </c>
      <c r="J165" s="74"/>
      <c r="K165" s="74"/>
      <c r="M165" s="74"/>
      <c r="P165" s="74"/>
      <c r="Q165" s="74"/>
      <c r="U165" s="95" t="s">
        <v>163</v>
      </c>
      <c r="W165" s="74"/>
      <c r="X165" s="1381"/>
      <c r="Y165" s="1381"/>
      <c r="Z165" s="1382"/>
      <c r="AA165" s="126"/>
      <c r="AB165" s="1381"/>
      <c r="AC165" s="1381"/>
      <c r="AD165" s="1382"/>
      <c r="AE165" s="154"/>
      <c r="AF165" s="1381"/>
      <c r="AG165" s="1381"/>
      <c r="AH165" s="1382"/>
      <c r="AI165" s="154"/>
      <c r="AJ165" s="1381"/>
      <c r="AK165" s="1381"/>
      <c r="AL165" s="1382"/>
      <c r="AM165" s="126"/>
      <c r="AN165" s="1303"/>
      <c r="AO165" s="1303"/>
      <c r="AP165" s="1303"/>
      <c r="AQ165" s="152"/>
      <c r="AR165" s="152"/>
      <c r="AS165" s="138"/>
      <c r="AT165" s="138"/>
      <c r="AU165" s="138"/>
      <c r="AV165" s="1381"/>
      <c r="AW165" s="1381"/>
      <c r="AX165" s="1382"/>
      <c r="AY165" s="126"/>
      <c r="AZ165" s="1381"/>
      <c r="BA165" s="1381"/>
      <c r="BB165" s="1382"/>
      <c r="BC165" s="154"/>
      <c r="BD165" s="1381"/>
      <c r="BE165" s="1381"/>
      <c r="BF165" s="1382"/>
      <c r="BG165" s="154"/>
      <c r="BH165" s="1381"/>
      <c r="BI165" s="1381"/>
      <c r="BJ165" s="1382"/>
      <c r="BK165" s="106"/>
      <c r="BL165" s="1359"/>
      <c r="BM165" s="1359"/>
      <c r="BN165" s="1359"/>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Compressore 2</v>
      </c>
      <c r="J167" s="74"/>
      <c r="K167" s="74"/>
      <c r="M167" s="74"/>
      <c r="P167" s="74"/>
      <c r="Q167" s="74"/>
      <c r="U167" s="95" t="s">
        <v>163</v>
      </c>
      <c r="W167" s="74"/>
      <c r="X167" s="1383"/>
      <c r="Y167" s="1383"/>
      <c r="Z167" s="1384"/>
      <c r="AA167" s="138"/>
      <c r="AB167" s="1383"/>
      <c r="AC167" s="1383"/>
      <c r="AD167" s="1384"/>
      <c r="AE167" s="139"/>
      <c r="AF167" s="1383"/>
      <c r="AG167" s="1383"/>
      <c r="AH167" s="1384"/>
      <c r="AI167" s="139"/>
      <c r="AJ167" s="1383"/>
      <c r="AK167" s="1383"/>
      <c r="AL167" s="1384"/>
      <c r="AM167" s="126"/>
      <c r="AN167" s="1303"/>
      <c r="AO167" s="1303"/>
      <c r="AP167" s="1303"/>
      <c r="AQ167" s="152"/>
      <c r="AR167" s="152"/>
      <c r="AS167" s="138"/>
      <c r="AT167" s="138"/>
      <c r="AU167" s="138"/>
      <c r="AV167" s="1383"/>
      <c r="AW167" s="1383"/>
      <c r="AX167" s="1384"/>
      <c r="AY167" s="138"/>
      <c r="AZ167" s="1383"/>
      <c r="BA167" s="1383"/>
      <c r="BB167" s="1384"/>
      <c r="BC167" s="139"/>
      <c r="BD167" s="1383"/>
      <c r="BE167" s="1383"/>
      <c r="BF167" s="1384"/>
      <c r="BG167" s="139"/>
      <c r="BH167" s="1383"/>
      <c r="BI167" s="1383"/>
      <c r="BJ167" s="1384"/>
      <c r="BK167" s="106"/>
      <c r="BL167" s="1359"/>
      <c r="BM167" s="1359"/>
      <c r="BN167" s="1359"/>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Compressore 3</v>
      </c>
      <c r="J169" s="74"/>
      <c r="K169" s="74"/>
      <c r="M169" s="74"/>
      <c r="P169" s="74"/>
      <c r="Q169" s="74"/>
      <c r="U169" s="95" t="s">
        <v>163</v>
      </c>
      <c r="W169" s="74"/>
      <c r="X169" s="1383"/>
      <c r="Y169" s="1383"/>
      <c r="Z169" s="1384"/>
      <c r="AA169" s="138"/>
      <c r="AB169" s="1383"/>
      <c r="AC169" s="1383"/>
      <c r="AD169" s="1384"/>
      <c r="AE169" s="139"/>
      <c r="AF169" s="1383"/>
      <c r="AG169" s="1383"/>
      <c r="AH169" s="1384"/>
      <c r="AI169" s="139"/>
      <c r="AJ169" s="1383"/>
      <c r="AK169" s="1383"/>
      <c r="AL169" s="1384"/>
      <c r="AM169" s="126"/>
      <c r="AN169" s="1303"/>
      <c r="AO169" s="1303"/>
      <c r="AP169" s="1303"/>
      <c r="AQ169" s="152"/>
      <c r="AR169" s="152"/>
      <c r="AS169" s="138"/>
      <c r="AT169" s="138"/>
      <c r="AU169" s="138"/>
      <c r="AV169" s="1383"/>
      <c r="AW169" s="1383"/>
      <c r="AX169" s="1384"/>
      <c r="AY169" s="138"/>
      <c r="AZ169" s="1383"/>
      <c r="BA169" s="1383"/>
      <c r="BB169" s="1384"/>
      <c r="BC169" s="139"/>
      <c r="BD169" s="1383"/>
      <c r="BE169" s="1383"/>
      <c r="BF169" s="1384"/>
      <c r="BG169" s="139"/>
      <c r="BH169" s="1383"/>
      <c r="BI169" s="1383"/>
      <c r="BJ169" s="1384"/>
      <c r="BK169" s="106"/>
      <c r="BL169" s="1359"/>
      <c r="BM169" s="1359"/>
      <c r="BN169" s="1359"/>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Compressore 4</v>
      </c>
      <c r="J171" s="74"/>
      <c r="K171" s="74"/>
      <c r="M171" s="74"/>
      <c r="P171" s="74"/>
      <c r="Q171" s="74"/>
      <c r="U171" s="95" t="s">
        <v>163</v>
      </c>
      <c r="W171" s="74"/>
      <c r="X171" s="1383"/>
      <c r="Y171" s="1383"/>
      <c r="Z171" s="1384"/>
      <c r="AA171" s="138"/>
      <c r="AB171" s="1383"/>
      <c r="AC171" s="1383"/>
      <c r="AD171" s="1384"/>
      <c r="AE171" s="139"/>
      <c r="AF171" s="1383"/>
      <c r="AG171" s="1383"/>
      <c r="AH171" s="1384"/>
      <c r="AI171" s="139"/>
      <c r="AJ171" s="1383"/>
      <c r="AK171" s="1383"/>
      <c r="AL171" s="1384"/>
      <c r="AM171" s="126"/>
      <c r="AN171" s="1303"/>
      <c r="AO171" s="1303"/>
      <c r="AP171" s="1303"/>
      <c r="AQ171" s="152"/>
      <c r="AR171" s="152"/>
      <c r="AS171" s="138"/>
      <c r="AT171" s="138"/>
      <c r="AU171" s="138"/>
      <c r="AV171" s="1383"/>
      <c r="AW171" s="1383"/>
      <c r="AX171" s="1384"/>
      <c r="AY171" s="138"/>
      <c r="AZ171" s="1383"/>
      <c r="BA171" s="1383"/>
      <c r="BB171" s="1384"/>
      <c r="BC171" s="139"/>
      <c r="BD171" s="1383"/>
      <c r="BE171" s="1383"/>
      <c r="BF171" s="1384"/>
      <c r="BG171" s="139"/>
      <c r="BH171" s="1383"/>
      <c r="BI171" s="1383"/>
      <c r="BJ171" s="1384"/>
      <c r="BK171" s="106"/>
      <c r="BL171" s="1359"/>
      <c r="BM171" s="1359"/>
      <c r="BN171" s="1359"/>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Totale</v>
      </c>
      <c r="J173" s="115"/>
      <c r="K173" s="115"/>
      <c r="L173" s="115"/>
      <c r="M173" s="115"/>
      <c r="N173" s="115"/>
      <c r="O173" s="115"/>
      <c r="P173" s="115"/>
      <c r="Q173" s="115"/>
      <c r="R173" s="115"/>
      <c r="S173" s="115"/>
      <c r="T173" s="115"/>
      <c r="U173" s="151" t="s">
        <v>163</v>
      </c>
      <c r="V173" s="124"/>
      <c r="W173" s="115"/>
      <c r="X173" s="1303">
        <f>IF($X$63=4,SUM(X165:Z171),IF($X$63=3,SUM(X165:Z169),IF($X$63=2,X167+X165,X165)))</f>
        <v>0</v>
      </c>
      <c r="Y173" s="1303"/>
      <c r="Z173" s="1303"/>
      <c r="AA173" s="152"/>
      <c r="AB173" s="1303">
        <f>IF($X$63=4,SUM(AB165:AD171),IF($X$63=3,SUM(AB165:AD169),IF($X$63=2,AB167+AB165,AB165)))</f>
        <v>0</v>
      </c>
      <c r="AC173" s="1303"/>
      <c r="AD173" s="1303"/>
      <c r="AE173" s="153"/>
      <c r="AF173" s="1303">
        <f>IF($X$63=4,SUM(AF165:AH171),IF($X$63=3,SUM(AF165:AH169),IF($X$63=2,AF167+AF165,AF165)))</f>
        <v>0</v>
      </c>
      <c r="AG173" s="1303"/>
      <c r="AH173" s="1303"/>
      <c r="AI173" s="153"/>
      <c r="AJ173" s="1303">
        <f>IF($X$63=4,SUM(AJ165:AL171),IF($X$63=3,SUM(AJ165:AL169),IF($X$63=2,AJ167+AJ165,AJ165)))</f>
        <v>0</v>
      </c>
      <c r="AK173" s="1303"/>
      <c r="AL173" s="1303"/>
      <c r="AM173" s="126"/>
      <c r="AN173" s="1303"/>
      <c r="AO173" s="1303"/>
      <c r="AP173" s="1303"/>
      <c r="AQ173" s="152"/>
      <c r="AR173" s="152"/>
      <c r="AS173" s="138"/>
      <c r="AT173" s="138"/>
      <c r="AU173" s="138"/>
      <c r="AV173" s="1303">
        <f>IF($AV$63=4,SUM(AV165:AX171),IF($AV$63=3,SUM(AV165:AX169),IF($AV$63=2,AV167+AV165,AV165)))</f>
        <v>0</v>
      </c>
      <c r="AW173" s="1303"/>
      <c r="AX173" s="1303"/>
      <c r="AY173" s="152"/>
      <c r="AZ173" s="1303">
        <f>IF($AV$63=4,SUM(AZ165:BB171),IF($AV$63=3,SUM(AZ165:BB169),IF($AV$63=2,AZ167+AZ165,AZ165)))</f>
        <v>0</v>
      </c>
      <c r="BA173" s="1303"/>
      <c r="BB173" s="1303"/>
      <c r="BC173" s="153"/>
      <c r="BD173" s="1303">
        <f>IF($AV$63=4,SUM(BD165:BF171),IF($AV$63=3,SUM(BD165:BF169),IF($AV$63=2,BD167+BD165,BD165)))</f>
        <v>0</v>
      </c>
      <c r="BE173" s="1303"/>
      <c r="BF173" s="1303"/>
      <c r="BG173" s="153"/>
      <c r="BH173" s="1303">
        <f>IF($AV$63=4,SUM(BH165:BJ171),IF($AV$63=3,SUM(BH165:BJ169),IF($AV$63=2,BH167+BH165,BH165)))</f>
        <v>0</v>
      </c>
      <c r="BI173" s="1303"/>
      <c r="BJ173" s="1303"/>
      <c r="BK173" s="106"/>
      <c r="BL173" s="1359"/>
      <c r="BM173" s="1359"/>
      <c r="BN173" s="1359"/>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Compressore COP (solo per controllo)</v>
      </c>
      <c r="J175" s="74"/>
      <c r="K175" s="74"/>
      <c r="L175" s="74"/>
      <c r="M175" s="74"/>
      <c r="N175" s="74"/>
      <c r="O175" s="130"/>
      <c r="P175" s="74"/>
      <c r="Q175" s="74"/>
      <c r="R175" s="74"/>
      <c r="S175" s="74"/>
      <c r="T175" s="74"/>
      <c r="U175" s="95"/>
      <c r="V175" s="74"/>
      <c r="W175" s="74"/>
      <c r="X175" s="1377"/>
      <c r="Y175" s="1377"/>
      <c r="Z175" s="1377"/>
      <c r="AA175" s="132"/>
      <c r="AB175" s="1377"/>
      <c r="AC175" s="1377"/>
      <c r="AD175" s="1377"/>
      <c r="AE175" s="133"/>
      <c r="AF175" s="1377"/>
      <c r="AG175" s="1377"/>
      <c r="AH175" s="1377"/>
      <c r="AI175" s="133"/>
      <c r="AJ175" s="1463" t="str">
        <f>X!$C$228</f>
        <v>«Bonus carico parziale»</v>
      </c>
      <c r="AK175" s="1387"/>
      <c r="AL175" s="1387"/>
      <c r="AM175" s="1387"/>
      <c r="AN175" s="1387"/>
      <c r="AO175" s="1387"/>
      <c r="AP175" s="1387"/>
      <c r="AQ175" s="132"/>
      <c r="AR175" s="441" t="s">
        <v>266</v>
      </c>
      <c r="AS175" s="441" t="s">
        <v>266</v>
      </c>
      <c r="AT175" s="441" t="s">
        <v>266</v>
      </c>
      <c r="AU175" s="106"/>
      <c r="AV175" s="131"/>
      <c r="AW175" s="74"/>
      <c r="AX175" s="74"/>
      <c r="AY175" s="106"/>
      <c r="AZ175" s="131"/>
      <c r="BA175" s="74"/>
      <c r="BB175" s="74"/>
      <c r="BC175" s="135"/>
      <c r="BD175" s="131"/>
      <c r="BE175" s="74"/>
      <c r="BF175" s="74"/>
      <c r="BG175" s="135"/>
      <c r="BH175" s="1387" t="str">
        <f>AJ175</f>
        <v>«Bonus carico parziale»</v>
      </c>
      <c r="BI175" s="1387"/>
      <c r="BJ175" s="1387"/>
      <c r="BK175" s="1387"/>
      <c r="BL175" s="1387"/>
      <c r="BM175" s="1387"/>
      <c r="BN175" s="1387"/>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Compressore 1</v>
      </c>
      <c r="J177" s="74"/>
      <c r="K177" s="74"/>
      <c r="L177" s="74"/>
      <c r="M177" s="74"/>
      <c r="N177" s="74"/>
      <c r="O177" s="74"/>
      <c r="P177" s="74"/>
      <c r="Q177" s="74"/>
      <c r="R177" s="74"/>
      <c r="S177" s="74"/>
      <c r="T177" s="74"/>
      <c r="U177" s="95" t="s">
        <v>72</v>
      </c>
      <c r="W177" s="74"/>
      <c r="X177" s="1333">
        <f>IF(X153=0,0,IF($AN177="-",X165/X153,X165/X153*(1+$AN177)))</f>
        <v>0</v>
      </c>
      <c r="Y177" s="1333"/>
      <c r="Z177" s="1333"/>
      <c r="AA177" s="126"/>
      <c r="AB177" s="1333">
        <f>IF(AB153=0,0,IF($AN177="-",AB165/AB153,AB165/AB153*(1+$AN177)))</f>
        <v>0</v>
      </c>
      <c r="AC177" s="1333"/>
      <c r="AD177" s="1333"/>
      <c r="AE177" s="154"/>
      <c r="AF177" s="1333">
        <f>IF(AF153=0,0,IF($AN177="-",AF165/AF153,AF165/AF153*(1+$AN177)))</f>
        <v>0</v>
      </c>
      <c r="AG177" s="1333"/>
      <c r="AH177" s="1333"/>
      <c r="AI177" s="154"/>
      <c r="AJ177" s="1333">
        <f>IF(AJ153=0,0,IF($AN177="-",AJ165/AJ153,AJ165/AJ153*(1+$AN177)))</f>
        <v>0</v>
      </c>
      <c r="AK177" s="1333"/>
      <c r="AL177" s="1333"/>
      <c r="AM177" s="126"/>
      <c r="AN177" s="1388" t="str">
        <f>IF(X704=0,"-",X704)</f>
        <v>-</v>
      </c>
      <c r="AO177" s="1388"/>
      <c r="AP177" s="1388"/>
      <c r="AQ177" s="325"/>
      <c r="AR177" s="325"/>
      <c r="AS177" s="138"/>
      <c r="AT177" s="138"/>
      <c r="AU177" s="138"/>
      <c r="AV177" s="1333">
        <f>IF(AV153=0,0,IF($BL177="-",AV165/AV153,AV165/AV153*(1+$BL177)))</f>
        <v>0</v>
      </c>
      <c r="AW177" s="1333"/>
      <c r="AX177" s="1333"/>
      <c r="AY177" s="126"/>
      <c r="AZ177" s="1333">
        <f>IF(AZ153=0,0,IF($BL177="-",AZ165/AZ153,AZ165/AZ153*(1+$BL177)))</f>
        <v>0</v>
      </c>
      <c r="BA177" s="1333"/>
      <c r="BB177" s="1333"/>
      <c r="BC177" s="154"/>
      <c r="BD177" s="1333">
        <f>IF(BD153=0,0,IF($BL177="-",BD165/BD153,BD165/BD153*(1+$BL177)))</f>
        <v>0</v>
      </c>
      <c r="BE177" s="1333"/>
      <c r="BF177" s="1333"/>
      <c r="BG177" s="154"/>
      <c r="BH177" s="1333">
        <f>IF(BH153=0,0,IF($BL177="-",BH165/BH153,BH165/BH153*(1+$BL177)))</f>
        <v>0</v>
      </c>
      <c r="BI177" s="1333"/>
      <c r="BJ177" s="1333"/>
      <c r="BK177" s="106"/>
      <c r="BL177" s="1388" t="str">
        <f>IF(AV704=0,"-",AV704)</f>
        <v>-</v>
      </c>
      <c r="BM177" s="1388"/>
      <c r="BN177" s="1388"/>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Compressore 2</v>
      </c>
      <c r="J178" s="74"/>
      <c r="K178" s="74"/>
      <c r="L178" s="74"/>
      <c r="M178" s="74"/>
      <c r="N178" s="74"/>
      <c r="O178" s="74"/>
      <c r="P178" s="74"/>
      <c r="Q178" s="74"/>
      <c r="R178" s="74"/>
      <c r="S178" s="74"/>
      <c r="T178" s="74"/>
      <c r="U178" s="95" t="s">
        <v>72</v>
      </c>
      <c r="W178" s="74"/>
      <c r="X178" s="1333">
        <f>IF($X$63&gt;1,IF(X155=0,0,IF($AN178="-",X167/X155,X167/X155*(1+$AN178))),0)</f>
        <v>0</v>
      </c>
      <c r="Y178" s="1333"/>
      <c r="Z178" s="1333"/>
      <c r="AA178" s="126"/>
      <c r="AB178" s="1333">
        <f>IF($X$63&gt;1,IF(AB155=0,0,IF($AN178="-",AB167/AB155,AB167/AB155*(1+$AN178))),0)</f>
        <v>0</v>
      </c>
      <c r="AC178" s="1333"/>
      <c r="AD178" s="1333"/>
      <c r="AE178" s="154"/>
      <c r="AF178" s="1333">
        <f>IF($X$63&gt;1,IF(AF155=0,0,IF($AN178="-",AF167/AF155,AF167/AF155*(1+$AN178))),0)</f>
        <v>0</v>
      </c>
      <c r="AG178" s="1333"/>
      <c r="AH178" s="1333"/>
      <c r="AI178" s="154"/>
      <c r="AJ178" s="1333">
        <f>IF($X$63&gt;1,IF(AJ155=0,0,IF($AN178="-",AJ167/AJ155,AJ167/AJ155*(1+$AN178))),0)</f>
        <v>0</v>
      </c>
      <c r="AK178" s="1333"/>
      <c r="AL178" s="1333"/>
      <c r="AM178" s="126"/>
      <c r="AN178" s="1388" t="str">
        <f>IF(AB704=0,"-",AB704)</f>
        <v>-</v>
      </c>
      <c r="AO178" s="1388"/>
      <c r="AP178" s="1388"/>
      <c r="AQ178" s="325"/>
      <c r="AR178" s="325"/>
      <c r="AS178" s="138"/>
      <c r="AT178" s="138"/>
      <c r="AU178" s="138"/>
      <c r="AV178" s="1304">
        <f>IF($AV$63&gt;1,IF(AV155=0,0,IF($BL178="-",AV167/AV155,AV167/AV155*(1+$BL178))),0)</f>
        <v>0</v>
      </c>
      <c r="AW178" s="1304"/>
      <c r="AX178" s="1304"/>
      <c r="AY178" s="138"/>
      <c r="AZ178" s="1304">
        <f>IF($AV$63&gt;1,IF(AZ155=0,0,IF($BL178="-",AZ167/AZ155,AZ167/AZ155*(1+$BL178))),0)</f>
        <v>0</v>
      </c>
      <c r="BA178" s="1304"/>
      <c r="BB178" s="1304"/>
      <c r="BC178" s="139"/>
      <c r="BD178" s="1304">
        <f>IF($AV$63&gt;1,IF(BD155=0,0,IF($BL178="-",BD167/BD155,BD167/BD155*(1+$BL178))),0)</f>
        <v>0</v>
      </c>
      <c r="BE178" s="1304"/>
      <c r="BF178" s="1304"/>
      <c r="BG178" s="139"/>
      <c r="BH178" s="1304">
        <f>IF($AV$63&gt;1,IF(BH155=0,0,IF($BL178="-",BH167/BH155,BH167/BH155*(1+$BL178))),0)</f>
        <v>0</v>
      </c>
      <c r="BI178" s="1304"/>
      <c r="BJ178" s="1304"/>
      <c r="BK178" s="106"/>
      <c r="BL178" s="1388" t="str">
        <f>IF(AZ704=0,"-",AZ704)</f>
        <v>-</v>
      </c>
      <c r="BM178" s="1388"/>
      <c r="BN178" s="1388"/>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Compressore 3</v>
      </c>
      <c r="J179" s="74"/>
      <c r="K179" s="74"/>
      <c r="L179" s="74"/>
      <c r="M179" s="74"/>
      <c r="N179" s="74"/>
      <c r="O179" s="74"/>
      <c r="P179" s="74"/>
      <c r="Q179" s="74"/>
      <c r="R179" s="74"/>
      <c r="S179" s="74"/>
      <c r="T179" s="74"/>
      <c r="U179" s="95" t="s">
        <v>72</v>
      </c>
      <c r="W179" s="74"/>
      <c r="X179" s="1333">
        <f>IF($X$63&gt;2,IF(X157=0,0,IF($AN179="-",X169/X157,X169/X157*(1+$AN179))),0)</f>
        <v>0</v>
      </c>
      <c r="Y179" s="1333"/>
      <c r="Z179" s="1333"/>
      <c r="AA179" s="126"/>
      <c r="AB179" s="1333">
        <f>IF($X$63&gt;2,IF(AB157=0,0,IF($AN179="-",AB169/AB157,AB169/AB157*(1+$AN179))),0)</f>
        <v>0</v>
      </c>
      <c r="AC179" s="1333"/>
      <c r="AD179" s="1333"/>
      <c r="AE179" s="154"/>
      <c r="AF179" s="1333">
        <f>IF($X$63&gt;2,IF(AF157=0,0,IF($AN179="-",AF169/AF157,AF169/AF157*(1+$AN179))),0)</f>
        <v>0</v>
      </c>
      <c r="AG179" s="1333"/>
      <c r="AH179" s="1333"/>
      <c r="AI179" s="154"/>
      <c r="AJ179" s="1333">
        <f>IF($X$63&gt;2,IF(AJ157=0,0,IF($AN179="-",AJ169/AJ157,AJ169/AJ157*(1+$AN179))),0)</f>
        <v>0</v>
      </c>
      <c r="AK179" s="1333"/>
      <c r="AL179" s="1333"/>
      <c r="AM179" s="126"/>
      <c r="AN179" s="1388" t="str">
        <f>IF(AF704=0,"-",AF704)</f>
        <v>-</v>
      </c>
      <c r="AO179" s="1388"/>
      <c r="AP179" s="1388"/>
      <c r="AQ179" s="325"/>
      <c r="AR179" s="325"/>
      <c r="AS179" s="138"/>
      <c r="AT179" s="138"/>
      <c r="AU179" s="138"/>
      <c r="AV179" s="1304">
        <f>IF($AV$63&gt;2,IF(AV157=0,0,IF($BL179="-",AV169/AV157,AV169/AV33*(1+$BL179))),0)</f>
        <v>0</v>
      </c>
      <c r="AW179" s="1304"/>
      <c r="AX179" s="1304"/>
      <c r="AY179" s="138"/>
      <c r="AZ179" s="1304">
        <f>IF($AV$63&gt;2,IF(AZ157=0,0,IF($BL179="-",AZ169/AZ157,AZ169/AZ33*(1+$BL179))),0)</f>
        <v>0</v>
      </c>
      <c r="BA179" s="1304"/>
      <c r="BB179" s="1304"/>
      <c r="BC179" s="139"/>
      <c r="BD179" s="1304">
        <f>IF($AV$63&gt;2,IF(BD157=0,0,IF($BL179="-",BD169/BD157,BD169/BD33*(1+$BL179))),0)</f>
        <v>0</v>
      </c>
      <c r="BE179" s="1304"/>
      <c r="BF179" s="1304"/>
      <c r="BG179" s="139"/>
      <c r="BH179" s="1304">
        <f>IF($AV$63&gt;2,IF(BH157=0,0,IF($BL179="-",BH169/BH157,BH169/BH33*(1+$BL179))),0)</f>
        <v>0</v>
      </c>
      <c r="BI179" s="1304"/>
      <c r="BJ179" s="1304"/>
      <c r="BK179" s="106"/>
      <c r="BL179" s="1388" t="str">
        <f>IF(BD704=0,"-",BD704)</f>
        <v>-</v>
      </c>
      <c r="BM179" s="1388"/>
      <c r="BN179" s="1388"/>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Compressore 4</v>
      </c>
      <c r="J180" s="74"/>
      <c r="K180" s="74"/>
      <c r="L180" s="74"/>
      <c r="M180" s="74"/>
      <c r="N180" s="74"/>
      <c r="O180" s="74"/>
      <c r="P180" s="74"/>
      <c r="Q180" s="74"/>
      <c r="R180" s="74"/>
      <c r="S180" s="74"/>
      <c r="T180" s="74"/>
      <c r="U180" s="95" t="s">
        <v>72</v>
      </c>
      <c r="W180" s="74"/>
      <c r="X180" s="1333">
        <f>IF($X$63&gt;3,IF(X159=0,0,IF($AN180="-",X171/X159,X171/X159*(1+$AN180))),0)</f>
        <v>0</v>
      </c>
      <c r="Y180" s="1333"/>
      <c r="Z180" s="1333"/>
      <c r="AA180" s="126"/>
      <c r="AB180" s="1333">
        <f>IF($X$63&gt;3,IF(AB159=0,0,IF($AN180="-",AB171/AB159,AB171/AB159*(1+$AN180))),0)</f>
        <v>0</v>
      </c>
      <c r="AC180" s="1333"/>
      <c r="AD180" s="1333"/>
      <c r="AE180" s="154"/>
      <c r="AF180" s="1333">
        <f>IF($X$63&gt;3,IF(AF159=0,0,IF($AN180="-",AF171/AF159,AF171/AF159*(1+$AN180))),0)</f>
        <v>0</v>
      </c>
      <c r="AG180" s="1333"/>
      <c r="AH180" s="1333"/>
      <c r="AI180" s="154"/>
      <c r="AJ180" s="1333">
        <f>IF($X$63&gt;3,IF(AJ159=0,0,IF($AN180="-",AJ171/AJ159,AJ171/AJ159*(1+$AN180))),0)</f>
        <v>0</v>
      </c>
      <c r="AK180" s="1333"/>
      <c r="AL180" s="1333"/>
      <c r="AM180" s="126"/>
      <c r="AN180" s="1388" t="str">
        <f>IF(AJ704=0,"-",AJ704)</f>
        <v>-</v>
      </c>
      <c r="AO180" s="1388"/>
      <c r="AP180" s="1388"/>
      <c r="AQ180" s="325"/>
      <c r="AR180" s="325"/>
      <c r="AS180" s="138"/>
      <c r="AT180" s="138"/>
      <c r="AU180" s="138"/>
      <c r="AV180" s="1304">
        <f>IF($AV$63&gt;3,IF(AV159=0,0,IF($BL180="-",AV171/AV159,AV171/AV159*(1+$BL180))),0)</f>
        <v>0</v>
      </c>
      <c r="AW180" s="1304"/>
      <c r="AX180" s="1304"/>
      <c r="AY180" s="138"/>
      <c r="AZ180" s="1304">
        <f>IF($AV$63&gt;3,IF(AZ159=0,0,IF($BL180="-",AZ171/AZ159,AZ171/AZ159*(1+$BL180))),0)</f>
        <v>0</v>
      </c>
      <c r="BA180" s="1304"/>
      <c r="BB180" s="1304"/>
      <c r="BC180" s="139"/>
      <c r="BD180" s="1304">
        <f>IF($AV$63&gt;3,IF(BD159=0,0,IF($BL180="-",BD171/BD159,BD171/BD159*(1+$BL180))),0)</f>
        <v>0</v>
      </c>
      <c r="BE180" s="1304"/>
      <c r="BF180" s="1304"/>
      <c r="BG180" s="139"/>
      <c r="BH180" s="1304">
        <f>IF($AV$63&gt;3,IF(BH159=0,0,IF($BL180="-",BH171/BH159,BH171/BH159*(1+$BL180))),0)</f>
        <v>0</v>
      </c>
      <c r="BI180" s="1304"/>
      <c r="BJ180" s="1304"/>
      <c r="BK180" s="106"/>
      <c r="BL180" s="1388" t="str">
        <f>IF(BH704=0,"-",BH704)</f>
        <v>-</v>
      </c>
      <c r="BM180" s="1388"/>
      <c r="BN180" s="1388"/>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Totale</v>
      </c>
      <c r="J181" s="155"/>
      <c r="K181" s="155"/>
      <c r="L181" s="155"/>
      <c r="M181" s="155"/>
      <c r="N181" s="155"/>
      <c r="O181" s="155"/>
      <c r="P181" s="155"/>
      <c r="Q181" s="155"/>
      <c r="R181" s="155"/>
      <c r="S181" s="155"/>
      <c r="T181" s="155"/>
      <c r="U181" s="156" t="s">
        <v>72</v>
      </c>
      <c r="V181" s="157"/>
      <c r="W181" s="74"/>
      <c r="X181" s="1380">
        <f>IF(X161=0,0,(X153*X177+X155*X178+X157*X179+X159*X180)/X161)</f>
        <v>0</v>
      </c>
      <c r="Y181" s="1380"/>
      <c r="Z181" s="1380"/>
      <c r="AA181" s="158"/>
      <c r="AB181" s="1380">
        <f>IF(AB161=0,0,(AB153*AB177+AB155*AB178+AB157*AB179+AB159*AB180)/AB161)</f>
        <v>0</v>
      </c>
      <c r="AC181" s="1380"/>
      <c r="AD181" s="1380"/>
      <c r="AE181" s="159"/>
      <c r="AF181" s="1380">
        <f>IF(AF161=0,0,(AF153*AF177+AF155*AF178+AF157*AF179+AF159*AF180)/AF161)</f>
        <v>0</v>
      </c>
      <c r="AG181" s="1380"/>
      <c r="AH181" s="1380"/>
      <c r="AI181" s="159"/>
      <c r="AJ181" s="1380">
        <f>IF(AJ161=0,0,(AJ153*AJ177+AJ155*AJ178+AJ157*AJ179+AJ159*AJ180)/AJ161)</f>
        <v>0</v>
      </c>
      <c r="AK181" s="1380"/>
      <c r="AL181" s="1380"/>
      <c r="AM181" s="160"/>
      <c r="AN181" s="1380"/>
      <c r="AO181" s="1380"/>
      <c r="AP181" s="1380"/>
      <c r="AQ181" s="152"/>
      <c r="AR181" s="152"/>
      <c r="AS181" s="138"/>
      <c r="AT181" s="138"/>
      <c r="AU181" s="138"/>
      <c r="AV181" s="1389">
        <f>IF(AV161=0,0,(AV153*AV177+AV155*AV178+AV157*AV179+AV159*AV180)/AV161)</f>
        <v>0</v>
      </c>
      <c r="AW181" s="1389"/>
      <c r="AX181" s="1389"/>
      <c r="AY181" s="448"/>
      <c r="AZ181" s="1389">
        <f>IF(AZ161=0,0,(AZ153*AZ177+AZ155*AZ178+AZ157*AZ179+AZ159*AZ180)/AZ161)</f>
        <v>0</v>
      </c>
      <c r="BA181" s="1389"/>
      <c r="BB181" s="1389"/>
      <c r="BC181" s="449"/>
      <c r="BD181" s="1389">
        <f>IF(BD161=0,0,(BD153*BD177+BD155*BD178+BD157*BD179+BD159*BD180)/BD161)</f>
        <v>0</v>
      </c>
      <c r="BE181" s="1389"/>
      <c r="BF181" s="1389"/>
      <c r="BG181" s="449"/>
      <c r="BH181" s="1389">
        <f>IF(BH161=0,0,(BH153*BH177+BH155*BH178+BH157*BH179+BH159*BH180)/BH161)</f>
        <v>0</v>
      </c>
      <c r="BI181" s="1389"/>
      <c r="BJ181" s="1389"/>
      <c r="BK181" s="450"/>
      <c r="BL181" s="1468"/>
      <c r="BM181" s="1468"/>
      <c r="BN181" s="1468"/>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Ore di esercizio</v>
      </c>
      <c r="J183" s="74"/>
      <c r="K183" s="74"/>
      <c r="L183" s="74"/>
      <c r="M183" s="74"/>
      <c r="N183" s="74"/>
      <c r="O183" s="74"/>
      <c r="P183" s="74"/>
      <c r="Q183" s="74"/>
      <c r="R183" s="74"/>
      <c r="S183" s="74"/>
      <c r="T183" s="74"/>
      <c r="U183" s="95"/>
      <c r="V183" s="74"/>
      <c r="W183" s="74"/>
      <c r="X183" s="1377"/>
      <c r="Y183" s="1377"/>
      <c r="Z183" s="1377"/>
      <c r="AA183" s="132"/>
      <c r="AB183" s="1377"/>
      <c r="AC183" s="1377"/>
      <c r="AD183" s="1377"/>
      <c r="AE183" s="133"/>
      <c r="AF183" s="1377"/>
      <c r="AG183" s="1377"/>
      <c r="AH183" s="1377"/>
      <c r="AI183" s="133"/>
      <c r="AJ183" s="1377"/>
      <c r="AK183" s="1377"/>
      <c r="AL183" s="1377"/>
      <c r="AM183" s="106"/>
      <c r="AN183" s="1303"/>
      <c r="AO183" s="1303"/>
      <c r="AP183" s="1303"/>
      <c r="AQ183" s="152"/>
      <c r="AR183" s="152"/>
      <c r="AS183" s="70"/>
      <c r="AT183" s="70"/>
      <c r="AU183" s="70"/>
      <c r="AV183" s="1293"/>
      <c r="AW183" s="1293"/>
      <c r="AX183" s="1293"/>
      <c r="AY183" s="106"/>
      <c r="AZ183" s="1293"/>
      <c r="BA183" s="1293"/>
      <c r="BB183" s="1293"/>
      <c r="BC183" s="135"/>
      <c r="BD183" s="1293"/>
      <c r="BE183" s="1293"/>
      <c r="BF183" s="1293"/>
      <c r="BG183" s="135"/>
      <c r="BH183" s="1293"/>
      <c r="BI183" s="1293"/>
      <c r="BJ183" s="1293"/>
      <c r="BK183" s="106"/>
      <c r="BL183" s="1359"/>
      <c r="BM183" s="1359"/>
      <c r="BN183" s="1359"/>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Durata funzionamento macchina (al giorno)</v>
      </c>
      <c r="W185" s="1301" t="str">
        <f>W135</f>
        <v>Primavera</v>
      </c>
      <c r="X185" s="1301"/>
      <c r="Y185" s="1301"/>
      <c r="Z185" s="1301"/>
      <c r="AA185" s="1293" t="str">
        <f>AA135</f>
        <v>Estate</v>
      </c>
      <c r="AB185" s="1293"/>
      <c r="AC185" s="1293"/>
      <c r="AD185" s="1293"/>
      <c r="AE185" s="1301" t="str">
        <f>AE135</f>
        <v>Autunno</v>
      </c>
      <c r="AF185" s="1301"/>
      <c r="AG185" s="1301"/>
      <c r="AH185" s="1301"/>
      <c r="AI185" s="1301" t="str">
        <f>AI135</f>
        <v>Inverno</v>
      </c>
      <c r="AJ185" s="1301"/>
      <c r="AK185" s="1301"/>
      <c r="AL185" s="1301"/>
      <c r="AN185" s="1301" t="str">
        <f>AN135</f>
        <v>Anno</v>
      </c>
      <c r="AO185" s="1301"/>
      <c r="AP185" s="1301"/>
      <c r="AQ185" s="70"/>
      <c r="AR185" s="70"/>
      <c r="AV185" s="1385" t="str">
        <f>AV135</f>
        <v>Primavera</v>
      </c>
      <c r="AW185" s="1350"/>
      <c r="AX185" s="1350"/>
      <c r="AY185" s="27"/>
      <c r="AZ185" s="1401" t="str">
        <f>AZ135</f>
        <v>Estate</v>
      </c>
      <c r="BA185" s="1436"/>
      <c r="BB185" s="1436"/>
      <c r="BC185" s="27"/>
      <c r="BD185" s="1385" t="str">
        <f>BD135</f>
        <v>Autunno</v>
      </c>
      <c r="BE185" s="1350"/>
      <c r="BF185" s="1350"/>
      <c r="BG185" s="27"/>
      <c r="BH185" s="1385" t="str">
        <f>BH135</f>
        <v>Inverno</v>
      </c>
      <c r="BI185" s="1350"/>
      <c r="BJ185" s="1350"/>
      <c r="BK185" s="27"/>
      <c r="BL185" s="1385" t="str">
        <f>BL135</f>
        <v>Anno</v>
      </c>
      <c r="BM185" s="1350"/>
      <c r="BN185" s="1350"/>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Profilo standard</v>
      </c>
      <c r="K187" s="74"/>
      <c r="L187" s="74"/>
      <c r="M187" s="74"/>
      <c r="N187" s="74"/>
      <c r="O187" s="74"/>
      <c r="P187" s="74"/>
      <c r="Q187" s="74" t="str">
        <f>CONCATENATE("(",X38," kW)")</f>
        <v>( kW)</v>
      </c>
      <c r="R187" s="74"/>
      <c r="S187" s="74"/>
      <c r="T187" s="74"/>
      <c r="U187" s="95" t="s">
        <v>95</v>
      </c>
      <c r="V187" s="74"/>
      <c r="W187" s="74"/>
      <c r="X187" s="1377">
        <f>X665</f>
        <v>0</v>
      </c>
      <c r="Y187" s="1377"/>
      <c r="Z187" s="1377"/>
      <c r="AA187" s="132"/>
      <c r="AB187" s="1377">
        <f>AB665</f>
        <v>0</v>
      </c>
      <c r="AC187" s="1377"/>
      <c r="AD187" s="1377"/>
      <c r="AE187" s="133"/>
      <c r="AF187" s="1377">
        <f>AF665</f>
        <v>0</v>
      </c>
      <c r="AG187" s="1377"/>
      <c r="AH187" s="1377"/>
      <c r="AI187" s="133"/>
      <c r="AJ187" s="1377">
        <f>AJ665</f>
        <v>0</v>
      </c>
      <c r="AK187" s="1377"/>
      <c r="AL187" s="1377"/>
      <c r="AM187" s="106"/>
      <c r="AN187" s="1303">
        <f>AVERAGE(X187:AL187)</f>
        <v>0</v>
      </c>
      <c r="AO187" s="1303"/>
      <c r="AP187" s="1303"/>
      <c r="AQ187" s="152"/>
      <c r="AR187" s="441" t="s">
        <v>266</v>
      </c>
      <c r="AS187" s="441" t="s">
        <v>266</v>
      </c>
      <c r="AT187" s="441" t="s">
        <v>266</v>
      </c>
      <c r="AU187" s="106"/>
      <c r="AV187" s="1377">
        <f>AV665</f>
        <v>0</v>
      </c>
      <c r="AW187" s="1377"/>
      <c r="AX187" s="1377"/>
      <c r="AY187" s="106"/>
      <c r="AZ187" s="1377">
        <f>AZ665</f>
        <v>0</v>
      </c>
      <c r="BA187" s="1377"/>
      <c r="BB187" s="1377"/>
      <c r="BC187" s="135"/>
      <c r="BD187" s="1377">
        <f>BD665</f>
        <v>0</v>
      </c>
      <c r="BE187" s="1377"/>
      <c r="BF187" s="1377"/>
      <c r="BG187" s="135"/>
      <c r="BH187" s="1377">
        <f>BH665</f>
        <v>0</v>
      </c>
      <c r="BI187" s="1377"/>
      <c r="BJ187" s="1377"/>
      <c r="BK187" s="106"/>
      <c r="BL187" s="1303">
        <f>AVERAGE(AV187:BJ187)</f>
        <v>0</v>
      </c>
      <c r="BM187" s="1303"/>
      <c r="BN187" s="1303"/>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Profilo standard</v>
      </c>
      <c r="K189" s="74"/>
      <c r="L189" s="74"/>
      <c r="M189" s="74"/>
      <c r="N189" s="74"/>
      <c r="O189" s="74"/>
      <c r="P189" s="74"/>
      <c r="Q189" s="731" t="s">
        <v>1032</v>
      </c>
      <c r="R189" s="74"/>
      <c r="S189" s="74"/>
      <c r="T189" s="74"/>
      <c r="U189" s="95" t="s">
        <v>95</v>
      </c>
      <c r="V189" s="74"/>
      <c r="W189" s="74"/>
      <c r="X189" s="1377">
        <f>IF(X173=0,X187,IF((X187/X173*$X38)&gt;24,24,(X187/X173*$X38)))</f>
        <v>0</v>
      </c>
      <c r="Y189" s="1377"/>
      <c r="Z189" s="1377"/>
      <c r="AA189" s="132"/>
      <c r="AB189" s="1377">
        <f>IF(AB173=0,AB187,IF((AB187/AB173*$X38)&gt;24,24,(AB187/AB173*$X38)))</f>
        <v>0</v>
      </c>
      <c r="AC189" s="1377"/>
      <c r="AD189" s="1377"/>
      <c r="AE189" s="133"/>
      <c r="AF189" s="1377">
        <f>IF(AF173=0,AF187,IF((AF187/AF173*$X38)&gt;24,24,(AF187/AF173*$X38)))</f>
        <v>0</v>
      </c>
      <c r="AG189" s="1377"/>
      <c r="AH189" s="1377"/>
      <c r="AI189" s="133"/>
      <c r="AJ189" s="1377">
        <f>IF(AJ173=0,AJ187,IF((AJ187/AJ173*$X38)&gt;24,24,(AJ187/AJ173*$X38)))</f>
        <v>0</v>
      </c>
      <c r="AK189" s="1377"/>
      <c r="AL189" s="1377"/>
      <c r="AM189" s="106"/>
      <c r="AN189" s="1303">
        <f>AVERAGE(X189:AL189)</f>
        <v>0</v>
      </c>
      <c r="AO189" s="1303"/>
      <c r="AP189" s="1303"/>
      <c r="AQ189" s="152"/>
      <c r="AR189" s="441" t="s">
        <v>266</v>
      </c>
      <c r="AS189" s="441" t="s">
        <v>266</v>
      </c>
      <c r="AT189" s="441" t="s">
        <v>266</v>
      </c>
      <c r="AU189" s="106"/>
      <c r="AV189" s="1333">
        <f>IF(AV173=0,AV187,IF((AV187/AV173*$X38)&gt;24,24,(AV187/AV173*$X38)))</f>
        <v>0</v>
      </c>
      <c r="AW189" s="1333"/>
      <c r="AX189" s="1333"/>
      <c r="AY189" s="74"/>
      <c r="AZ189" s="1333">
        <f>IF(AZ173=0,AZ187,IF((AZ187/AZ173*$X38)&gt;24,24,(AZ187/AZ173*$X38)))</f>
        <v>0</v>
      </c>
      <c r="BA189" s="1333"/>
      <c r="BB189" s="1333"/>
      <c r="BC189" s="74"/>
      <c r="BD189" s="1333">
        <f>IF(BD173=0,BD187,IF((BD187/BD173*$X38)&gt;24,24,(BD187/BD173*$X38)))</f>
        <v>0</v>
      </c>
      <c r="BE189" s="1333"/>
      <c r="BF189" s="1333"/>
      <c r="BG189" s="74"/>
      <c r="BH189" s="1333">
        <f>IF(BH173=0,BH187,IF((BH187/BH173*$X38)&gt;24,24,(BH187/BH173*$X38)))</f>
        <v>0</v>
      </c>
      <c r="BI189" s="1333"/>
      <c r="BJ189" s="1333"/>
      <c r="BK189" s="106"/>
      <c r="BL189" s="1303">
        <f>AVERAGE(AV189:BJ189)</f>
        <v>0</v>
      </c>
      <c r="BM189" s="1303"/>
      <c r="BN189" s="1303"/>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Valutazione progettisti</v>
      </c>
      <c r="U191" s="27" t="s">
        <v>95</v>
      </c>
      <c r="X191" s="1433"/>
      <c r="Y191" s="1433"/>
      <c r="Z191" s="1434"/>
      <c r="AA191" s="132"/>
      <c r="AB191" s="1433"/>
      <c r="AC191" s="1433"/>
      <c r="AD191" s="1434"/>
      <c r="AE191" s="133"/>
      <c r="AF191" s="1433"/>
      <c r="AG191" s="1433"/>
      <c r="AH191" s="1434"/>
      <c r="AI191" s="133"/>
      <c r="AJ191" s="1433"/>
      <c r="AK191" s="1433"/>
      <c r="AL191" s="1434"/>
      <c r="AM191" s="106"/>
      <c r="AN191" s="1348">
        <f>AN193</f>
        <v>0</v>
      </c>
      <c r="AO191" s="1348"/>
      <c r="AP191" s="1348"/>
      <c r="AQ191" s="152"/>
      <c r="AR191" s="441" t="s">
        <v>266</v>
      </c>
      <c r="AS191" s="441" t="s">
        <v>266</v>
      </c>
      <c r="AT191" s="441" t="s">
        <v>266</v>
      </c>
      <c r="AU191" s="70"/>
      <c r="AV191" s="1433"/>
      <c r="AW191" s="1433"/>
      <c r="AX191" s="1434"/>
      <c r="AY191" s="132"/>
      <c r="AZ191" s="1433"/>
      <c r="BA191" s="1433"/>
      <c r="BB191" s="1434"/>
      <c r="BC191" s="133"/>
      <c r="BD191" s="1433"/>
      <c r="BE191" s="1433"/>
      <c r="BF191" s="1434"/>
      <c r="BG191" s="133"/>
      <c r="BH191" s="1433"/>
      <c r="BI191" s="1433"/>
      <c r="BJ191" s="1434"/>
      <c r="BK191" s="106"/>
      <c r="BL191" s="1348">
        <f>BL193</f>
        <v>0</v>
      </c>
      <c r="BM191" s="1348"/>
      <c r="BN191" s="1348"/>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06">
        <f>IF(X191="",IF(X189=0,X187,X189),X191)</f>
        <v>0</v>
      </c>
      <c r="Y193" s="1406"/>
      <c r="Z193" s="1406"/>
      <c r="AA193" s="576"/>
      <c r="AB193" s="1406">
        <f>IF(AB191="",IF(AB189=0,AB187,AB189),AB191)</f>
        <v>0</v>
      </c>
      <c r="AC193" s="1406"/>
      <c r="AD193" s="1406"/>
      <c r="AE193" s="577"/>
      <c r="AF193" s="1406">
        <f>IF(AF191="",IF(AF189=0,AF187,AF189),AF191)</f>
        <v>0</v>
      </c>
      <c r="AG193" s="1406"/>
      <c r="AH193" s="1406"/>
      <c r="AI193" s="577"/>
      <c r="AJ193" s="1406">
        <f>IF(AJ191="",IF(AJ189=0,AJ187,AJ189),AJ191)</f>
        <v>0</v>
      </c>
      <c r="AK193" s="1406"/>
      <c r="AL193" s="1406"/>
      <c r="AM193" s="119"/>
      <c r="AN193" s="1469">
        <f>AVERAGE(X193:AL193)</f>
        <v>0</v>
      </c>
      <c r="AO193" s="1469"/>
      <c r="AP193" s="1469"/>
      <c r="AQ193" s="578"/>
      <c r="AR193" s="579" t="s">
        <v>266</v>
      </c>
      <c r="AS193" s="579" t="s">
        <v>266</v>
      </c>
      <c r="AT193" s="579" t="s">
        <v>266</v>
      </c>
      <c r="AU193" s="119"/>
      <c r="AV193" s="1406">
        <f>IF(AV191="",IF(AV189=0,AV187,AV189),AV191)</f>
        <v>0</v>
      </c>
      <c r="AW193" s="1406"/>
      <c r="AX193" s="1406"/>
      <c r="AY193" s="576"/>
      <c r="AZ193" s="1406">
        <f>IF(AZ191="",IF(AZ189=0,AZ187,AZ189),AZ191)</f>
        <v>0</v>
      </c>
      <c r="BA193" s="1406"/>
      <c r="BB193" s="1406"/>
      <c r="BC193" s="577"/>
      <c r="BD193" s="1406">
        <f>IF(BD191="",IF(BD189=0,BD187,BD189),BD191)</f>
        <v>0</v>
      </c>
      <c r="BE193" s="1406"/>
      <c r="BF193" s="1406"/>
      <c r="BG193" s="577"/>
      <c r="BH193" s="1406">
        <f>IF(BH191="",IF(BH189=0,BH187,BH189),BH191)</f>
        <v>0</v>
      </c>
      <c r="BI193" s="1406"/>
      <c r="BJ193" s="1406"/>
      <c r="BK193" s="119"/>
      <c r="BL193" s="1469">
        <f>AVERAGE(AV193:BJ193)</f>
        <v>0</v>
      </c>
      <c r="BM193" s="1469"/>
      <c r="BN193" s="1469"/>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Discrepanza rispetto al valore previsto</v>
      </c>
      <c r="U195" s="27" t="s">
        <v>28</v>
      </c>
      <c r="X195" s="1386">
        <f>IF(X191="",0,IF(X189=0,"--",X191/X189-1))</f>
        <v>0</v>
      </c>
      <c r="Y195" s="1386"/>
      <c r="Z195" s="1386"/>
      <c r="AA195" s="162"/>
      <c r="AB195" s="1386">
        <f>IF(AB191="",0,IF(AB189=0,"--",AB191/AB189-1))</f>
        <v>0</v>
      </c>
      <c r="AC195" s="1386"/>
      <c r="AD195" s="1386"/>
      <c r="AE195" s="163"/>
      <c r="AF195" s="1386">
        <f>IF(AF191="",0,IF(AF189=0,"--",AF191/AF189-1))</f>
        <v>0</v>
      </c>
      <c r="AG195" s="1386"/>
      <c r="AH195" s="1386"/>
      <c r="AI195" s="163"/>
      <c r="AJ195" s="1386">
        <f>IF(AJ191="",0,IF(AJ189=0,"--",AJ191/AJ189-1))</f>
        <v>0</v>
      </c>
      <c r="AK195" s="1386"/>
      <c r="AL195" s="1386"/>
      <c r="AM195" s="162"/>
      <c r="AN195" s="1386" t="str">
        <f>IF(AN191="",0,IF(AN189=0,"--",AN191/AN189-1))</f>
        <v>--</v>
      </c>
      <c r="AO195" s="1386"/>
      <c r="AP195" s="1386"/>
      <c r="AQ195" s="345"/>
      <c r="AR195" s="441" t="s">
        <v>266</v>
      </c>
      <c r="AS195" s="441" t="s">
        <v>266</v>
      </c>
      <c r="AT195" s="441" t="s">
        <v>266</v>
      </c>
      <c r="AU195" s="162"/>
      <c r="AV195" s="1386">
        <f>IF(AV191="",0,IF(AV189=0,"--",AV191/AV189-1))</f>
        <v>0</v>
      </c>
      <c r="AW195" s="1386"/>
      <c r="AX195" s="1386"/>
      <c r="AY195" s="162"/>
      <c r="AZ195" s="1386">
        <f>IF(AZ191="",0,IF(AZ189=0,"--",AZ191/AZ189-1))</f>
        <v>0</v>
      </c>
      <c r="BA195" s="1386"/>
      <c r="BB195" s="1386"/>
      <c r="BC195" s="163"/>
      <c r="BD195" s="1386">
        <f>IF(BD191="",0,IF(BD189=0,"--",BD191/BD189-1))</f>
        <v>0</v>
      </c>
      <c r="BE195" s="1386"/>
      <c r="BF195" s="1386"/>
      <c r="BG195" s="163"/>
      <c r="BH195" s="1386">
        <f>IF(BH191="",0,IF(BH189=0,"--",BH191/BH189-1))</f>
        <v>0</v>
      </c>
      <c r="BI195" s="1386"/>
      <c r="BJ195" s="1386"/>
      <c r="BK195" s="162"/>
      <c r="BL195" s="1386" t="str">
        <f>IF(BL191="",0,IF(BL189=0,"--",BL191/BL189-1))</f>
        <v>--</v>
      </c>
      <c r="BM195" s="1386"/>
      <c r="BN195" s="1386"/>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374" t="str">
        <f>X!$C$123</f>
        <v>Osservazioni</v>
      </c>
      <c r="J197" s="1375"/>
      <c r="K197" s="1375"/>
      <c r="L197" s="1375"/>
      <c r="M197" s="1375"/>
      <c r="N197" s="1375"/>
      <c r="O197" s="1375"/>
      <c r="P197" s="1375"/>
      <c r="Q197" s="1375"/>
      <c r="R197" s="1375"/>
      <c r="S197" s="1375"/>
      <c r="T197" s="165"/>
      <c r="U197" s="165"/>
      <c r="V197" s="165"/>
      <c r="W197" s="165"/>
      <c r="X197" s="1495" t="str">
        <f>IF(AN195&lt;I713,X713,"")</f>
        <v/>
      </c>
      <c r="Y197" s="1495"/>
      <c r="Z197" s="1495"/>
      <c r="AA197" s="1495"/>
      <c r="AB197" s="1495"/>
      <c r="AC197" s="1495"/>
      <c r="AD197" s="1495"/>
      <c r="AE197" s="1495"/>
      <c r="AF197" s="1495"/>
      <c r="AG197" s="1495"/>
      <c r="AH197" s="1495"/>
      <c r="AI197" s="1495"/>
      <c r="AJ197" s="1495"/>
      <c r="AK197" s="1495"/>
      <c r="AL197" s="1495"/>
      <c r="AM197" s="1495"/>
      <c r="AN197" s="1495"/>
      <c r="AO197" s="1495"/>
      <c r="AP197" s="1495"/>
      <c r="AQ197" s="329"/>
      <c r="AR197" s="329"/>
      <c r="AS197" s="166"/>
      <c r="AT197" s="166"/>
      <c r="AU197" s="166"/>
      <c r="AV197" s="1495" t="str">
        <f>IF(BL195&lt;I713,X713,"")</f>
        <v/>
      </c>
      <c r="AW197" s="1495"/>
      <c r="AX197" s="1495"/>
      <c r="AY197" s="1495"/>
      <c r="AZ197" s="1495"/>
      <c r="BA197" s="1495"/>
      <c r="BB197" s="1495"/>
      <c r="BC197" s="1495"/>
      <c r="BD197" s="1495"/>
      <c r="BE197" s="1495"/>
      <c r="BF197" s="1495"/>
      <c r="BG197" s="1495"/>
      <c r="BH197" s="1495"/>
      <c r="BI197" s="1495"/>
      <c r="BJ197" s="1495"/>
      <c r="BK197" s="1495"/>
      <c r="BL197" s="1495"/>
      <c r="BM197" s="1495"/>
      <c r="BN197" s="1495"/>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96" t="str">
        <f>IF(AN195&lt;I713,AV713,"")</f>
        <v/>
      </c>
      <c r="Y199" s="1496"/>
      <c r="Z199" s="1496"/>
      <c r="AA199" s="1496"/>
      <c r="AB199" s="1496"/>
      <c r="AC199" s="1496"/>
      <c r="AD199" s="1496"/>
      <c r="AE199" s="1496"/>
      <c r="AF199" s="1496"/>
      <c r="AG199" s="1496"/>
      <c r="AH199" s="1496"/>
      <c r="AI199" s="1496"/>
      <c r="AJ199" s="1496"/>
      <c r="AK199" s="1496"/>
      <c r="AL199" s="1496"/>
      <c r="AM199" s="1496"/>
      <c r="AN199" s="1496"/>
      <c r="AO199" s="1496"/>
      <c r="AP199" s="1496"/>
      <c r="AQ199" s="330"/>
      <c r="AR199" s="330"/>
      <c r="AS199" s="119"/>
      <c r="AT199" s="119"/>
      <c r="AU199" s="119"/>
      <c r="AV199" s="1496" t="str">
        <f>IF(BL195&lt;I713,AV713,"")</f>
        <v/>
      </c>
      <c r="AW199" s="1496"/>
      <c r="AX199" s="1496"/>
      <c r="AY199" s="1496"/>
      <c r="AZ199" s="1496"/>
      <c r="BA199" s="1496"/>
      <c r="BB199" s="1496"/>
      <c r="BC199" s="1496"/>
      <c r="BD199" s="1496"/>
      <c r="BE199" s="1496"/>
      <c r="BF199" s="1496"/>
      <c r="BG199" s="1496"/>
      <c r="BH199" s="1496"/>
      <c r="BI199" s="1496"/>
      <c r="BJ199" s="1496"/>
      <c r="BK199" s="1496"/>
      <c r="BL199" s="1496"/>
      <c r="BM199" s="1496"/>
      <c r="BN199" s="1496"/>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Recupero del calore</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Stima del fabbisogno di calore</v>
      </c>
      <c r="W203" s="1301" t="str">
        <f>W185</f>
        <v>Primavera</v>
      </c>
      <c r="X203" s="1301"/>
      <c r="Y203" s="1301"/>
      <c r="Z203" s="1301"/>
      <c r="AA203" s="1301" t="str">
        <f>AA185</f>
        <v>Estate</v>
      </c>
      <c r="AB203" s="1301"/>
      <c r="AC203" s="1301"/>
      <c r="AD203" s="1301"/>
      <c r="AE203" s="1301" t="str">
        <f>AE185</f>
        <v>Autunno</v>
      </c>
      <c r="AF203" s="1301"/>
      <c r="AG203" s="1301"/>
      <c r="AH203" s="1301"/>
      <c r="AI203" s="1301" t="str">
        <f>AI185</f>
        <v>Inverno</v>
      </c>
      <c r="AJ203" s="1301"/>
      <c r="AK203" s="1301"/>
      <c r="AL203" s="1301"/>
      <c r="AN203" s="1301"/>
      <c r="AO203" s="1301"/>
      <c r="AP203" s="1301"/>
      <c r="AU203" s="1301" t="str">
        <f>W203</f>
        <v>Primavera</v>
      </c>
      <c r="AV203" s="1301"/>
      <c r="AW203" s="1301"/>
      <c r="AX203" s="1301"/>
      <c r="AY203" s="1301" t="str">
        <f t="shared" ref="AY203" si="0">AA203</f>
        <v>Estate</v>
      </c>
      <c r="AZ203" s="1301"/>
      <c r="BA203" s="1301"/>
      <c r="BB203" s="1301"/>
      <c r="BC203" s="1301" t="str">
        <f t="shared" ref="BC203" si="1">AE203</f>
        <v>Autunno</v>
      </c>
      <c r="BD203" s="1301"/>
      <c r="BE203" s="1301"/>
      <c r="BF203" s="1301"/>
      <c r="BG203" s="1301" t="str">
        <f t="shared" ref="BG203" si="2">AI203</f>
        <v>Inverno</v>
      </c>
      <c r="BH203" s="1301"/>
      <c r="BI203" s="1301"/>
      <c r="BJ203" s="1301"/>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Acqua potabile calda</v>
      </c>
      <c r="U205" t="str">
        <f>X!C397</f>
        <v>litro/giorno</v>
      </c>
      <c r="X205" s="1378"/>
      <c r="Y205" s="1378"/>
      <c r="Z205" s="1379"/>
      <c r="AA205" s="497"/>
      <c r="AB205" s="1378"/>
      <c r="AC205" s="1378"/>
      <c r="AD205" s="1379"/>
      <c r="AE205" s="497"/>
      <c r="AF205" s="1378"/>
      <c r="AG205" s="1378"/>
      <c r="AH205" s="1379"/>
      <c r="AI205" s="497"/>
      <c r="AJ205" s="1378"/>
      <c r="AK205" s="1378"/>
      <c r="AL205" s="1379"/>
      <c r="AM205" s="497"/>
      <c r="AN205" s="1303"/>
      <c r="AO205" s="1303"/>
      <c r="AP205" s="1303"/>
      <c r="AQ205" s="70"/>
      <c r="AR205" s="70"/>
      <c r="AV205" s="1378"/>
      <c r="AW205" s="1378"/>
      <c r="AX205" s="1379"/>
      <c r="AY205" s="497"/>
      <c r="AZ205" s="1378"/>
      <c r="BA205" s="1378"/>
      <c r="BB205" s="1379"/>
      <c r="BC205" s="497"/>
      <c r="BD205" s="1378"/>
      <c r="BE205" s="1378"/>
      <c r="BF205" s="1379"/>
      <c r="BG205" s="497"/>
      <c r="BH205" s="1378"/>
      <c r="BI205" s="1378"/>
      <c r="BJ205" s="1379"/>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Altro (per processi)</v>
      </c>
      <c r="U207" t="s">
        <v>803</v>
      </c>
      <c r="X207" s="1378"/>
      <c r="Y207" s="1378"/>
      <c r="Z207" s="1379"/>
      <c r="AA207" s="497"/>
      <c r="AB207" s="1378"/>
      <c r="AC207" s="1378"/>
      <c r="AD207" s="1379"/>
      <c r="AE207" s="497"/>
      <c r="AF207" s="1378"/>
      <c r="AG207" s="1378"/>
      <c r="AH207" s="1379"/>
      <c r="AI207" s="497"/>
      <c r="AJ207" s="1378"/>
      <c r="AK207" s="1378"/>
      <c r="AL207" s="1379"/>
      <c r="AM207" s="497"/>
      <c r="AN207" s="1303"/>
      <c r="AO207" s="1303"/>
      <c r="AP207" s="1303"/>
      <c r="AQ207" s="70"/>
      <c r="AR207" s="70"/>
      <c r="AV207" s="1378"/>
      <c r="AW207" s="1378"/>
      <c r="AX207" s="1379"/>
      <c r="AY207" s="497"/>
      <c r="AZ207" s="1378"/>
      <c r="BA207" s="1378"/>
      <c r="BB207" s="1379"/>
      <c r="BC207" s="497"/>
      <c r="BD207" s="1378"/>
      <c r="BE207" s="1378"/>
      <c r="BF207" s="1379"/>
      <c r="BG207" s="497"/>
      <c r="BH207" s="1378"/>
      <c r="BI207" s="1378"/>
      <c r="BJ207" s="1379"/>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Per il riscaldamento: Superficie dello stabile</v>
      </c>
      <c r="U209" t="s">
        <v>871</v>
      </c>
      <c r="AN209" s="1378"/>
      <c r="AO209" s="1378"/>
      <c r="AP209" s="1379"/>
      <c r="AQ209" s="70"/>
      <c r="AR209" s="465"/>
      <c r="AS209" s="465"/>
      <c r="AT209" s="465"/>
      <c r="BL209" s="1378"/>
      <c r="BM209" s="1378"/>
      <c r="BN209" s="1379"/>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Fabbisogno di energia (proposta)</v>
      </c>
      <c r="U211" t="s">
        <v>875</v>
      </c>
      <c r="X211" s="1479" t="str">
        <f>X!C391</f>
        <v>Nessun recupero del calore!</v>
      </c>
      <c r="Y211" s="1479"/>
      <c r="Z211" s="1479"/>
      <c r="AA211" s="1479"/>
      <c r="AB211" s="1479"/>
      <c r="AC211" s="1479"/>
      <c r="AD211" s="1479"/>
      <c r="AE211" s="1479"/>
      <c r="AF211" s="1479"/>
      <c r="AG211" s="1479"/>
      <c r="AH211" s="1479"/>
      <c r="AI211" s="1479"/>
      <c r="AJ211" s="1479"/>
      <c r="AK211" s="1479"/>
      <c r="AL211" s="1479"/>
      <c r="AM211" s="497"/>
      <c r="AN211" s="1478">
        <f>AB916</f>
        <v>0</v>
      </c>
      <c r="AO211" s="1478"/>
      <c r="AP211" s="1478"/>
      <c r="AQ211" s="70"/>
      <c r="AR211" s="70"/>
      <c r="AV211" s="1479" t="str">
        <f>X211</f>
        <v>Nessun recupero del calore!</v>
      </c>
      <c r="AW211" s="1479"/>
      <c r="AX211" s="1479"/>
      <c r="AY211" s="1479"/>
      <c r="AZ211" s="1479"/>
      <c r="BA211" s="1479"/>
      <c r="BB211" s="1479"/>
      <c r="BC211" s="1479"/>
      <c r="BD211" s="1479"/>
      <c r="BE211" s="1479"/>
      <c r="BF211" s="1479"/>
      <c r="BG211" s="1479"/>
      <c r="BH211" s="1479"/>
      <c r="BI211" s="1479"/>
      <c r="BJ211" s="1479"/>
      <c r="BL211" s="1478">
        <f>AZ916</f>
        <v>0</v>
      </c>
      <c r="BM211" s="1478"/>
      <c r="BN211" s="147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Fabbisogno di energia (facoltativa)</v>
      </c>
      <c r="U213" t="s">
        <v>875</v>
      </c>
      <c r="X213" s="539"/>
      <c r="Y213" s="539"/>
      <c r="Z213" s="539"/>
      <c r="AA213" s="497"/>
      <c r="AB213" s="539"/>
      <c r="AC213" s="539"/>
      <c r="AD213" s="539"/>
      <c r="AE213" s="497"/>
      <c r="AF213" s="539"/>
      <c r="AG213" s="539"/>
      <c r="AH213" s="539"/>
      <c r="AI213" s="497"/>
      <c r="AJ213" s="539"/>
      <c r="AK213" s="539"/>
      <c r="AL213" s="539"/>
      <c r="AM213" s="497"/>
      <c r="AN213" s="1378"/>
      <c r="AO213" s="1378"/>
      <c r="AP213" s="1379"/>
      <c r="AQ213" s="70"/>
      <c r="AR213" s="70"/>
      <c r="BL213" s="1378"/>
      <c r="BM213" s="1378"/>
      <c r="BN213" s="1379"/>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A che temperatura dev'essere il calore? (si può indicare solo una temperatura)</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Temperatura</v>
      </c>
      <c r="U217" t="s">
        <v>85</v>
      </c>
      <c r="AA217" s="132"/>
      <c r="AC217" s="74"/>
      <c r="AD217" s="74"/>
      <c r="AE217" s="74"/>
      <c r="AF217" s="74"/>
      <c r="AG217" s="74"/>
      <c r="AH217" s="74"/>
      <c r="AJ217" s="74" t="s">
        <v>868</v>
      </c>
      <c r="AK217" s="74"/>
      <c r="AL217" s="74"/>
      <c r="AM217" s="74"/>
      <c r="AN217" s="1378"/>
      <c r="AO217" s="1378"/>
      <c r="AP217" s="1379"/>
      <c r="AQ217" s="70"/>
      <c r="AR217" s="70"/>
      <c r="BE217" s="74"/>
      <c r="BF217" s="74"/>
      <c r="BG217" s="74"/>
      <c r="BH217" s="74" t="s">
        <v>868</v>
      </c>
      <c r="BI217" s="74"/>
      <c r="BJ217" s="74"/>
      <c r="BK217" s="74"/>
      <c r="BL217" s="1378"/>
      <c r="BM217" s="1378"/>
      <c r="BN217" s="1379"/>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374" t="str">
        <f>X!$C$123</f>
        <v>Osservazioni</v>
      </c>
      <c r="J219" s="1375"/>
      <c r="K219" s="1375"/>
      <c r="L219" s="1375"/>
      <c r="M219" s="1375"/>
      <c r="N219" s="1375"/>
      <c r="O219" s="1375"/>
      <c r="P219" s="1375"/>
      <c r="Q219" s="1375"/>
      <c r="R219" s="1375"/>
      <c r="S219" s="1375"/>
      <c r="T219" s="165"/>
      <c r="U219" s="165"/>
      <c r="V219" s="165"/>
      <c r="W219" s="165"/>
      <c r="X219" s="1222" t="str">
        <f>IF(AB114=1,IF(AN972&gt;0,CA219,""),"")</f>
        <v/>
      </c>
      <c r="Y219" s="1222"/>
      <c r="Z219" s="1222"/>
      <c r="AA219" s="1222"/>
      <c r="AB219" s="1222"/>
      <c r="AC219" s="1222"/>
      <c r="AD219" s="1222"/>
      <c r="AE219" s="1222"/>
      <c r="AF219" s="1222"/>
      <c r="AG219" s="1222"/>
      <c r="AH219" s="1222"/>
      <c r="AI219" s="1222"/>
      <c r="AJ219" s="1222"/>
      <c r="AK219" s="1222"/>
      <c r="AL219" s="1222"/>
      <c r="AM219" s="1222"/>
      <c r="AN219" s="1222"/>
      <c r="AO219" s="1222"/>
      <c r="AP219" s="1222"/>
      <c r="AQ219" s="329"/>
      <c r="AR219" s="329"/>
      <c r="AS219" s="166"/>
      <c r="AT219" s="166"/>
      <c r="AU219" s="166"/>
      <c r="AV219" s="1222" t="str">
        <f>IF(AZ114=1,IF(BL972&gt;0,CA219,""),"")</f>
        <v/>
      </c>
      <c r="AW219" s="1222"/>
      <c r="AX219" s="1222"/>
      <c r="AY219" s="1222"/>
      <c r="AZ219" s="1222"/>
      <c r="BA219" s="1222"/>
      <c r="BB219" s="1222"/>
      <c r="BC219" s="1222"/>
      <c r="BD219" s="1222"/>
      <c r="BE219" s="1222"/>
      <c r="BF219" s="1222"/>
      <c r="BG219" s="1222"/>
      <c r="BH219" s="1222"/>
      <c r="BI219" s="1222"/>
      <c r="BJ219" s="1222"/>
      <c r="BK219" s="1222"/>
      <c r="BL219" s="1222"/>
      <c r="BM219" s="1222"/>
      <c r="BN219" s="1222"/>
      <c r="BO219" s="94"/>
      <c r="BP219" s="27"/>
      <c r="BQ219" s="782"/>
      <c r="BR219" s="782"/>
      <c r="BS219" s="782"/>
      <c r="BT219" s="782"/>
      <c r="BU219" s="201"/>
      <c r="BV219" s="201"/>
      <c r="BW219" s="201"/>
      <c r="BX219" s="201"/>
      <c r="BY219" s="201"/>
      <c r="BZ219" s="201"/>
      <c r="CA219" s="782" t="str">
        <f>X!C321</f>
        <v xml:space="preserve">Per utilizzare il calore bisogna aumentare la temperatura di condensazione.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376" t="str">
        <f>IF(AB114=1,IF(AN970&gt;X59,CA221,""),"")</f>
        <v/>
      </c>
      <c r="Y221" s="1376"/>
      <c r="Z221" s="1376"/>
      <c r="AA221" s="1376"/>
      <c r="AB221" s="1376"/>
      <c r="AC221" s="1376"/>
      <c r="AD221" s="1376"/>
      <c r="AE221" s="1376"/>
      <c r="AF221" s="1376"/>
      <c r="AG221" s="1376"/>
      <c r="AH221" s="1376"/>
      <c r="AI221" s="1376"/>
      <c r="AJ221" s="1376"/>
      <c r="AK221" s="1376"/>
      <c r="AL221" s="1376"/>
      <c r="AM221" s="1376"/>
      <c r="AN221" s="1376"/>
      <c r="AO221" s="1376"/>
      <c r="AP221" s="1376"/>
      <c r="AQ221" s="330"/>
      <c r="AR221" s="330"/>
      <c r="AS221" s="119"/>
      <c r="AT221" s="119"/>
      <c r="AU221" s="119"/>
      <c r="AV221" s="1376" t="str">
        <f>IF(AZ114=1,IF(BL970&gt;AV59,CA221,""),"")</f>
        <v/>
      </c>
      <c r="AW221" s="1376"/>
      <c r="AX221" s="1376"/>
      <c r="AY221" s="1376"/>
      <c r="AZ221" s="1376"/>
      <c r="BA221" s="1376"/>
      <c r="BB221" s="1376"/>
      <c r="BC221" s="1376"/>
      <c r="BD221" s="1376"/>
      <c r="BE221" s="1376"/>
      <c r="BF221" s="1376"/>
      <c r="BG221" s="1376"/>
      <c r="BH221" s="1376"/>
      <c r="BI221" s="1376"/>
      <c r="BJ221" s="1376"/>
      <c r="BK221" s="1376"/>
      <c r="BL221" s="1376"/>
      <c r="BM221" s="1376"/>
      <c r="BN221" s="1376"/>
      <c r="BO221" s="94"/>
      <c r="BQ221" s="201"/>
      <c r="BR221" s="201"/>
      <c r="BS221" s="201"/>
      <c r="BT221" s="201"/>
      <c r="BU221" s="63"/>
      <c r="BV221" s="63"/>
      <c r="BW221" s="63"/>
      <c r="BX221" s="63"/>
      <c r="BY221" s="63"/>
      <c r="BZ221" s="63"/>
      <c r="CA221" s="782" t="str">
        <f>X!C322</f>
        <v>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Composizione dei risultati</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372">
        <f>IF(AB110=BA494,"",AB110)</f>
        <v>0</v>
      </c>
      <c r="Y230" s="1372"/>
      <c r="Z230" s="1372"/>
      <c r="AA230" s="1372"/>
      <c r="AB230" s="1372"/>
      <c r="AC230" s="1372"/>
      <c r="AD230" s="1372"/>
      <c r="AE230" s="1372"/>
      <c r="AF230" s="1372"/>
      <c r="AG230" s="1372"/>
      <c r="AH230" s="1372"/>
      <c r="AI230" s="1372"/>
      <c r="AJ230" s="1372"/>
      <c r="AK230" s="1372"/>
      <c r="AL230" s="1372"/>
      <c r="AM230" s="1372"/>
      <c r="AN230" s="1372"/>
      <c r="AO230" s="1372"/>
      <c r="AP230" s="1372"/>
      <c r="AV230" s="1372">
        <f>IF(AZ110=BA494,"",AZ110)</f>
        <v>0</v>
      </c>
      <c r="AW230" s="1372"/>
      <c r="AX230" s="1372"/>
      <c r="AY230" s="1372"/>
      <c r="AZ230" s="1372"/>
      <c r="BA230" s="1372"/>
      <c r="BB230" s="1372"/>
      <c r="BC230" s="1372"/>
      <c r="BD230" s="1372"/>
      <c r="BE230" s="1372"/>
      <c r="BF230" s="1372"/>
      <c r="BG230" s="1372"/>
      <c r="BH230" s="1372"/>
      <c r="BI230" s="1372"/>
      <c r="BJ230" s="1372"/>
      <c r="BK230" s="1372"/>
      <c r="BL230" s="1372"/>
      <c r="BM230" s="1372"/>
      <c r="BN230" s="1372"/>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Risultato della stima in base al profilo standard</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Consumo elettricità</v>
      </c>
      <c r="I234" s="74"/>
      <c r="J234" s="74"/>
      <c r="K234" s="74"/>
      <c r="L234" s="74"/>
      <c r="M234" s="74"/>
      <c r="N234" s="74"/>
      <c r="O234" s="74"/>
      <c r="P234" s="74"/>
      <c r="Q234" s="74"/>
      <c r="R234" s="74"/>
      <c r="S234" s="74"/>
      <c r="T234" s="74"/>
      <c r="U234" s="95"/>
      <c r="V234" s="74"/>
      <c r="W234" s="74"/>
      <c r="X234" s="1266"/>
      <c r="Y234" s="1293"/>
      <c r="Z234" s="1293"/>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Compressore</v>
      </c>
      <c r="J235" s="74"/>
      <c r="K235" s="74"/>
      <c r="L235" s="74"/>
      <c r="M235" s="74"/>
      <c r="N235" s="74"/>
      <c r="O235" s="74"/>
      <c r="P235" s="74"/>
      <c r="Q235" s="74"/>
      <c r="R235" s="74"/>
      <c r="S235" s="74"/>
      <c r="T235" s="74"/>
      <c r="U235" s="95" t="s">
        <v>20</v>
      </c>
      <c r="V235" s="74"/>
      <c r="W235" s="1266">
        <f>AM345</f>
        <v>0</v>
      </c>
      <c r="X235" s="1266"/>
      <c r="Y235" s="1266"/>
      <c r="Z235" s="1266"/>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66">
        <f>BK345</f>
        <v>0</v>
      </c>
      <c r="AV235" s="1266"/>
      <c r="AW235" s="1266"/>
      <c r="AX235" s="1266"/>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Aggregati ausiliari «parte caldo»</v>
      </c>
      <c r="J236" s="74"/>
      <c r="K236" s="74"/>
      <c r="L236" s="74"/>
      <c r="M236" s="74"/>
      <c r="N236" s="74"/>
      <c r="O236" s="74"/>
      <c r="P236" s="74"/>
      <c r="Q236" s="74"/>
      <c r="R236" s="74"/>
      <c r="S236" s="74"/>
      <c r="T236" s="74"/>
      <c r="U236" s="95" t="s">
        <v>20</v>
      </c>
      <c r="V236" s="74"/>
      <c r="W236" s="1266">
        <f>AN357</f>
        <v>0</v>
      </c>
      <c r="X236" s="1266"/>
      <c r="Y236" s="1266"/>
      <c r="Z236" s="1266"/>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66">
        <f>BL357</f>
        <v>0</v>
      </c>
      <c r="AV236" s="1266"/>
      <c r="AW236" s="1266"/>
      <c r="AX236" s="1266"/>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Aggregati ausiliari «parte freddo»</v>
      </c>
      <c r="J237" s="74"/>
      <c r="K237" s="74"/>
      <c r="L237" s="74"/>
      <c r="M237" s="74"/>
      <c r="N237" s="74"/>
      <c r="O237" s="74"/>
      <c r="P237" s="74"/>
      <c r="Q237" s="74"/>
      <c r="R237" s="74"/>
      <c r="S237" s="74"/>
      <c r="T237" s="74"/>
      <c r="U237" s="506" t="s">
        <v>20</v>
      </c>
      <c r="V237" s="507"/>
      <c r="W237" s="1267">
        <f>AF384</f>
        <v>0</v>
      </c>
      <c r="X237" s="1267"/>
      <c r="Y237" s="1267"/>
      <c r="Z237" s="1267"/>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267">
        <f>BD384</f>
        <v>0</v>
      </c>
      <c r="AV237" s="1267"/>
      <c r="AW237" s="1267"/>
      <c r="AX237" s="1267"/>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Consumo totale di elettricità</v>
      </c>
      <c r="J238" s="115"/>
      <c r="K238" s="115"/>
      <c r="L238" s="115"/>
      <c r="M238" s="115"/>
      <c r="N238" s="115"/>
      <c r="O238" s="115"/>
      <c r="P238" s="115"/>
      <c r="Q238" s="115"/>
      <c r="R238" s="115"/>
      <c r="S238" s="115"/>
      <c r="T238" s="115"/>
      <c r="U238" s="151" t="s">
        <v>20</v>
      </c>
      <c r="V238" s="115"/>
      <c r="W238" s="1307">
        <f>SUM(W235:Z237)</f>
        <v>0</v>
      </c>
      <c r="X238" s="1307"/>
      <c r="Y238" s="1307"/>
      <c r="Z238" s="1307"/>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07">
        <f>SUM(AU235:AX237)</f>
        <v>0</v>
      </c>
      <c r="AV238" s="1307"/>
      <c r="AW238" s="1307"/>
      <c r="AX238" s="1307"/>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Freddo</v>
      </c>
      <c r="I240" s="74"/>
      <c r="J240" s="74"/>
      <c r="K240" s="74"/>
      <c r="L240" s="74"/>
      <c r="M240" s="74"/>
      <c r="N240" s="74"/>
      <c r="O240" s="74"/>
      <c r="P240" s="74"/>
      <c r="Q240" s="74"/>
      <c r="R240" s="74"/>
      <c r="S240" s="74"/>
      <c r="T240" s="74"/>
      <c r="U240" s="95"/>
      <c r="V240" s="74"/>
      <c r="W240" s="74"/>
      <c r="X240" s="1266"/>
      <c r="Y240" s="1293"/>
      <c r="Z240" s="1293"/>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66"/>
      <c r="AW240" s="1293"/>
      <c r="AX240" s="1293"/>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Raffreddamento con la macchina refrigerante</v>
      </c>
      <c r="J241" s="74"/>
      <c r="K241" s="74"/>
      <c r="L241" s="74"/>
      <c r="M241" s="74"/>
      <c r="N241" s="74"/>
      <c r="O241" s="74"/>
      <c r="P241" s="74"/>
      <c r="Q241" s="74"/>
      <c r="R241" s="74"/>
      <c r="S241" s="74"/>
      <c r="T241" s="74"/>
      <c r="U241" s="95" t="s">
        <v>20</v>
      </c>
      <c r="V241" s="74"/>
      <c r="W241" s="1266">
        <f>W243</f>
        <v>0</v>
      </c>
      <c r="X241" s="1266"/>
      <c r="Y241" s="1266"/>
      <c r="Z241" s="1266"/>
      <c r="AA241" s="106"/>
      <c r="AB241" s="107"/>
      <c r="AD241" s="107"/>
      <c r="AE241" s="107"/>
      <c r="AF241" s="107"/>
      <c r="AG241" s="107"/>
      <c r="AH241" s="107"/>
      <c r="AI241" s="107"/>
      <c r="AJ241" s="107"/>
      <c r="AK241" s="106"/>
      <c r="AL241" s="106"/>
      <c r="AM241" s="106"/>
      <c r="AN241" s="106"/>
      <c r="AO241" s="106"/>
      <c r="AP241" s="106"/>
      <c r="AQ241" s="106"/>
      <c r="AR241" s="106"/>
      <c r="AS241" s="106"/>
      <c r="AT241" s="106"/>
      <c r="AU241" s="1266">
        <f>AU243</f>
        <v>0</v>
      </c>
      <c r="AV241" s="1266"/>
      <c r="AW241" s="1266"/>
      <c r="AX241" s="1266"/>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Raffreddamento con il free-cooling</v>
      </c>
      <c r="J242" s="74"/>
      <c r="K242" s="74"/>
      <c r="L242" s="74"/>
      <c r="M242" s="74"/>
      <c r="N242" s="74"/>
      <c r="O242" s="74"/>
      <c r="P242" s="74"/>
      <c r="Q242" s="74"/>
      <c r="R242" s="74"/>
      <c r="S242" s="74"/>
      <c r="T242" s="74"/>
      <c r="U242" s="506" t="s">
        <v>20</v>
      </c>
      <c r="V242" s="507"/>
      <c r="W242" s="1267" t="str">
        <f>IF(W244=0,"--",W244)</f>
        <v>--</v>
      </c>
      <c r="X242" s="1267"/>
      <c r="Y242" s="1267"/>
      <c r="Z242" s="1267"/>
      <c r="AA242" s="106"/>
      <c r="AB242" s="107"/>
      <c r="AD242" s="107"/>
      <c r="AE242" s="107"/>
      <c r="AF242" s="107"/>
      <c r="AG242" s="107"/>
      <c r="AH242" s="107"/>
      <c r="AI242" s="107"/>
      <c r="AJ242" s="107"/>
      <c r="AK242" s="106"/>
      <c r="AL242" s="106"/>
      <c r="AM242" s="106"/>
      <c r="AN242" s="106"/>
      <c r="AO242" s="106"/>
      <c r="AP242" s="106"/>
      <c r="AQ242" s="106"/>
      <c r="AR242" s="106"/>
      <c r="AS242" s="106"/>
      <c r="AT242" s="106"/>
      <c r="AU242" s="1267" t="str">
        <f>IF(AU244=0,"--",AU244)</f>
        <v>--</v>
      </c>
      <c r="AV242" s="1267"/>
      <c r="AW242" s="1267"/>
      <c r="AX242" s="1267"/>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Raffreddamento con la macchina refrigerante</v>
      </c>
      <c r="J243" s="74"/>
      <c r="K243" s="74"/>
      <c r="L243" s="74"/>
      <c r="M243" s="74"/>
      <c r="N243" s="74"/>
      <c r="O243" s="74"/>
      <c r="P243" s="74"/>
      <c r="Q243" s="74"/>
      <c r="R243" s="74"/>
      <c r="S243" s="74"/>
      <c r="T243" s="74"/>
      <c r="U243" s="95" t="s">
        <v>20</v>
      </c>
      <c r="V243" s="74"/>
      <c r="W243" s="1266">
        <f>AM331</f>
        <v>0</v>
      </c>
      <c r="X243" s="1266"/>
      <c r="Y243" s="1266"/>
      <c r="Z243" s="1266"/>
      <c r="AA243" s="106"/>
      <c r="AB243" s="107"/>
      <c r="AD243" s="107"/>
      <c r="AE243" s="107"/>
      <c r="AF243" s="107"/>
      <c r="AG243" s="107"/>
      <c r="AH243" s="107"/>
      <c r="AI243" s="107"/>
      <c r="AJ243" s="107"/>
      <c r="AK243" s="106"/>
      <c r="AL243" s="106"/>
      <c r="AM243" s="106"/>
      <c r="AN243" s="106"/>
      <c r="AO243" s="106"/>
      <c r="AP243" s="106"/>
      <c r="AQ243" s="106"/>
      <c r="AR243" s="106"/>
      <c r="AS243" s="106"/>
      <c r="AT243" s="106"/>
      <c r="AU243" s="1266">
        <f>BK331</f>
        <v>0</v>
      </c>
      <c r="AV243" s="1266"/>
      <c r="AW243" s="1266"/>
      <c r="AX243" s="1266"/>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Raffreddamento con il free-cooling</v>
      </c>
      <c r="J244" s="74"/>
      <c r="K244" s="74"/>
      <c r="L244" s="74"/>
      <c r="M244" s="74"/>
      <c r="N244" s="74"/>
      <c r="O244" s="74"/>
      <c r="P244" s="74"/>
      <c r="Q244" s="74"/>
      <c r="R244" s="74"/>
      <c r="S244" s="74"/>
      <c r="T244" s="74"/>
      <c r="U244" s="506" t="s">
        <v>20</v>
      </c>
      <c r="V244" s="507"/>
      <c r="W244" s="1267">
        <f>AM330</f>
        <v>0</v>
      </c>
      <c r="X244" s="1267"/>
      <c r="Y244" s="1267"/>
      <c r="Z244" s="1267"/>
      <c r="AA244" s="106"/>
      <c r="AB244" s="107"/>
      <c r="AD244" s="107"/>
      <c r="AE244" s="107"/>
      <c r="AF244" s="107"/>
      <c r="AG244" s="107"/>
      <c r="AH244" s="107"/>
      <c r="AI244" s="107"/>
      <c r="AJ244" s="107"/>
      <c r="AK244" s="106"/>
      <c r="AL244" s="106"/>
      <c r="AM244" s="106"/>
      <c r="AN244" s="106"/>
      <c r="AO244" s="106"/>
      <c r="AP244" s="106"/>
      <c r="AQ244" s="106"/>
      <c r="AR244" s="106"/>
      <c r="AS244" s="106"/>
      <c r="AT244" s="106"/>
      <c r="AU244" s="1267">
        <f>BK330</f>
        <v>0</v>
      </c>
      <c r="AV244" s="1267"/>
      <c r="AW244" s="1267"/>
      <c r="AX244" s="1267"/>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Freddo utilizzato</v>
      </c>
      <c r="J245" s="115"/>
      <c r="K245" s="115"/>
      <c r="L245" s="115"/>
      <c r="M245" s="115"/>
      <c r="N245" s="115"/>
      <c r="O245" s="115"/>
      <c r="P245" s="115"/>
      <c r="Q245" s="115"/>
      <c r="R245" s="115"/>
      <c r="S245" s="115"/>
      <c r="T245" s="115"/>
      <c r="U245" s="151" t="s">
        <v>20</v>
      </c>
      <c r="V245" s="115"/>
      <c r="W245" s="1307">
        <f>W243+W244</f>
        <v>0</v>
      </c>
      <c r="X245" s="1307"/>
      <c r="Y245" s="1307"/>
      <c r="Z245" s="1307"/>
      <c r="AA245" s="137"/>
      <c r="AB245" s="510"/>
      <c r="AD245" s="510"/>
      <c r="AE245" s="510"/>
      <c r="AF245" s="510"/>
      <c r="AG245" s="510"/>
      <c r="AH245" s="510"/>
      <c r="AI245" s="510"/>
      <c r="AJ245" s="510"/>
      <c r="AK245" s="137"/>
      <c r="AL245" s="137"/>
      <c r="AM245" s="137"/>
      <c r="AN245" s="137"/>
      <c r="AO245" s="137"/>
      <c r="AP245" s="137"/>
      <c r="AQ245" s="137"/>
      <c r="AR245" s="137"/>
      <c r="AS245" s="137"/>
      <c r="AT245" s="137"/>
      <c r="AU245" s="1307">
        <f>AU243+AU244</f>
        <v>0</v>
      </c>
      <c r="AV245" s="1307"/>
      <c r="AW245" s="1307"/>
      <c r="AX245" s="1307"/>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Consumo di energia elettrica per il freddo</v>
      </c>
      <c r="J247" s="74"/>
      <c r="K247" s="74"/>
      <c r="L247" s="74"/>
      <c r="M247" s="74"/>
      <c r="N247" s="74"/>
      <c r="O247" s="74"/>
      <c r="P247" s="74"/>
      <c r="Q247" s="74"/>
      <c r="R247" s="74"/>
      <c r="S247" s="74"/>
      <c r="T247" s="74"/>
      <c r="U247" s="95" t="s">
        <v>20</v>
      </c>
      <c r="V247" s="74"/>
      <c r="W247" s="1266">
        <f>W238-W255</f>
        <v>0</v>
      </c>
      <c r="X247" s="1266"/>
      <c r="Y247" s="1266"/>
      <c r="Z247" s="1266"/>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66">
        <f>AU238-AU255</f>
        <v>0</v>
      </c>
      <c r="AV247" s="1266"/>
      <c r="AW247" s="1266"/>
      <c r="AX247" s="1266"/>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371" t="str">
        <f>X!C328</f>
        <v>Indice di efficienza energetica (freddo)</v>
      </c>
      <c r="J249" s="1371"/>
      <c r="K249" s="1371"/>
      <c r="L249" s="1371"/>
      <c r="M249" s="1371"/>
      <c r="N249" s="1371"/>
      <c r="O249" s="1371"/>
      <c r="P249" s="1371"/>
      <c r="Q249" s="1371"/>
      <c r="R249" s="1371"/>
      <c r="S249" s="1371"/>
      <c r="T249" s="74"/>
      <c r="U249" s="95" t="s">
        <v>258</v>
      </c>
      <c r="V249" s="74"/>
      <c r="W249" s="74"/>
      <c r="X249" s="1303">
        <f>IF(W247=0,0,W245/W247)</f>
        <v>0</v>
      </c>
      <c r="Y249" s="1303"/>
      <c r="Z249" s="1303"/>
      <c r="AA249" s="106"/>
      <c r="AB249" s="572" t="str">
        <f>X!C329</f>
        <v>(Totale freddo / consumo di energia elettrica per il freddo)</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03">
        <f>IF(AU247=0,0,AU245/AU247)</f>
        <v>0</v>
      </c>
      <c r="AW249" s="1303"/>
      <c r="AX249" s="1303"/>
      <c r="AY249" s="106"/>
      <c r="AZ249" s="572" t="str">
        <f>AB249</f>
        <v>(Totale freddo / consumo di energia elettrica per il freddo)</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Calore</v>
      </c>
      <c r="I251" s="74"/>
      <c r="J251" s="74"/>
      <c r="K251" s="74"/>
      <c r="L251" s="74"/>
      <c r="M251" s="74"/>
      <c r="N251" s="74"/>
      <c r="O251" s="74"/>
      <c r="P251" s="74"/>
      <c r="Q251" s="74"/>
      <c r="R251" s="74"/>
      <c r="S251" s="74"/>
      <c r="T251" s="74"/>
      <c r="U251" s="95"/>
      <c r="V251" s="74"/>
      <c r="W251" s="74"/>
      <c r="X251" s="1266"/>
      <c r="Y251" s="1293"/>
      <c r="Z251" s="1293"/>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66"/>
      <c r="AW251" s="1293"/>
      <c r="AX251" s="1293"/>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Calore utilizzato</v>
      </c>
      <c r="J252" s="74"/>
      <c r="K252" s="74"/>
      <c r="L252" s="74"/>
      <c r="M252" s="74"/>
      <c r="N252" s="74"/>
      <c r="O252" s="74"/>
      <c r="P252" s="74"/>
      <c r="Q252" s="74"/>
      <c r="R252" s="74"/>
      <c r="S252" s="74"/>
      <c r="T252" s="74"/>
      <c r="U252" s="95" t="s">
        <v>20</v>
      </c>
      <c r="V252" s="74"/>
      <c r="W252" s="1266" t="str">
        <f>IF(W254=0,"--",W254)</f>
        <v>--</v>
      </c>
      <c r="X252" s="1266"/>
      <c r="Y252" s="1266"/>
      <c r="Z252" s="1266"/>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66" t="str">
        <f>IF(AU254=0,"--",AU254)</f>
        <v>--</v>
      </c>
      <c r="AV252" s="1266"/>
      <c r="AW252" s="1266"/>
      <c r="AX252" s="1266"/>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consumo aggiuntivo di elettricità</v>
      </c>
      <c r="J253" s="74"/>
      <c r="K253" s="74"/>
      <c r="L253" s="74"/>
      <c r="M253" s="74"/>
      <c r="N253" s="74"/>
      <c r="O253" s="74"/>
      <c r="P253" s="74"/>
      <c r="Q253" s="74"/>
      <c r="R253" s="74"/>
      <c r="S253" s="74"/>
      <c r="T253" s="74"/>
      <c r="U253" s="95" t="s">
        <v>20</v>
      </c>
      <c r="V253" s="74"/>
      <c r="W253" s="1266" t="str">
        <f>IF(W255=0,"--",W255)</f>
        <v>--</v>
      </c>
      <c r="X253" s="1266"/>
      <c r="Y253" s="1266"/>
      <c r="Z253" s="1266"/>
      <c r="AA253" s="106"/>
      <c r="AB253" s="573" t="str">
        <f>IF(AB112=1,BR253,"")</f>
        <v>(Aumento della temperatura di condensazione)</v>
      </c>
      <c r="AC253" s="107"/>
      <c r="AD253" s="107"/>
      <c r="AE253" s="107"/>
      <c r="AF253" s="107"/>
      <c r="AG253" s="107"/>
      <c r="AH253" s="107"/>
      <c r="AI253" s="107"/>
      <c r="AJ253" s="107"/>
      <c r="AK253" s="106"/>
      <c r="AL253" s="106"/>
      <c r="AM253" s="106"/>
      <c r="AN253" s="106"/>
      <c r="AO253" s="106"/>
      <c r="AP253" s="106"/>
      <c r="AQ253" s="106"/>
      <c r="AR253" s="106"/>
      <c r="AS253" s="106"/>
      <c r="AT253" s="106"/>
      <c r="AU253" s="1266" t="str">
        <f>IF(AU255=0,"--",AU255)</f>
        <v>--</v>
      </c>
      <c r="AV253" s="1266"/>
      <c r="AW253" s="1266"/>
      <c r="AX253" s="1266"/>
      <c r="AY253" s="106"/>
      <c r="AZ253" s="573" t="str">
        <f>IF(AZ112=1,BR253,"")</f>
        <v>(Aumento della temperatura di condensazione)</v>
      </c>
      <c r="BA253" s="107"/>
      <c r="BB253" s="107"/>
      <c r="BC253" s="107"/>
      <c r="BD253" s="107"/>
      <c r="BE253" s="107"/>
      <c r="BF253" s="107"/>
      <c r="BG253" s="107"/>
      <c r="BH253" s="107"/>
      <c r="BM253"/>
      <c r="BO253" s="94"/>
      <c r="BQ253" s="201"/>
      <c r="BR253" s="872" t="str">
        <f>X!C392</f>
        <v>(Aumento della temperatura di condensazione)</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Calore utilizzato</v>
      </c>
      <c r="J254" s="74"/>
      <c r="K254" s="74"/>
      <c r="L254" s="74"/>
      <c r="M254" s="74"/>
      <c r="N254" s="74"/>
      <c r="O254" s="74"/>
      <c r="P254" s="74"/>
      <c r="Q254" s="74"/>
      <c r="R254" s="74"/>
      <c r="S254" s="74"/>
      <c r="T254" s="74"/>
      <c r="U254" s="95" t="s">
        <v>20</v>
      </c>
      <c r="V254" s="74"/>
      <c r="W254" s="1266">
        <f>AM968</f>
        <v>0</v>
      </c>
      <c r="X254" s="1266"/>
      <c r="Y254" s="1266"/>
      <c r="Z254" s="1266"/>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66">
        <f>BK968</f>
        <v>0</v>
      </c>
      <c r="AV254" s="1266"/>
      <c r="AW254" s="1266"/>
      <c r="AX254" s="1266"/>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Consumo di energia elettrica per Calore</v>
      </c>
      <c r="J255" s="74"/>
      <c r="K255" s="74"/>
      <c r="L255" s="74"/>
      <c r="M255" s="74"/>
      <c r="N255" s="74"/>
      <c r="O255" s="74"/>
      <c r="P255" s="74"/>
      <c r="Q255" s="74"/>
      <c r="R255" s="74"/>
      <c r="S255" s="74"/>
      <c r="T255" s="74"/>
      <c r="U255" s="95" t="s">
        <v>20</v>
      </c>
      <c r="V255" s="74"/>
      <c r="W255" s="1266">
        <f>AM980+AN356*X362</f>
        <v>0</v>
      </c>
      <c r="X255" s="1266"/>
      <c r="Y255" s="1266"/>
      <c r="Z255" s="1266"/>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66">
        <f>BK980+BL356*AV362</f>
        <v>0</v>
      </c>
      <c r="AV255" s="1266"/>
      <c r="AW255" s="1266"/>
      <c r="AX255" s="1266"/>
      <c r="AY255" s="106"/>
      <c r="AZ255" s="573" t="str">
        <f>IF(AZ114=1,BR255,"")</f>
        <v/>
      </c>
      <c r="BA255" s="107"/>
      <c r="BB255" s="107"/>
      <c r="BC255" s="107"/>
      <c r="BD255" s="107"/>
      <c r="BE255" s="107"/>
      <c r="BF255" s="107"/>
      <c r="BG255" s="107"/>
      <c r="BH255" s="107"/>
      <c r="BM255"/>
      <c r="BO255" s="94"/>
      <c r="BQ255" s="201"/>
      <c r="BR255" s="872" t="str">
        <f>X!C392</f>
        <v>(Aumento della temperatura di condensazione)</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371" t="str">
        <f>X!C332</f>
        <v>Indice di efficienza energetica (calore)</v>
      </c>
      <c r="J257" s="1371"/>
      <c r="K257" s="1371"/>
      <c r="L257" s="1371"/>
      <c r="M257" s="1371"/>
      <c r="N257" s="1371"/>
      <c r="O257" s="1371"/>
      <c r="P257" s="1371"/>
      <c r="Q257" s="1371"/>
      <c r="R257" s="1371"/>
      <c r="S257" s="1371"/>
      <c r="T257" s="74"/>
      <c r="U257" s="95" t="s">
        <v>258</v>
      </c>
      <c r="V257" s="74"/>
      <c r="W257" s="74"/>
      <c r="X257" s="1303" t="str">
        <f>IF(W255=0,"--",W254/W255)</f>
        <v>--</v>
      </c>
      <c r="Y257" s="1303"/>
      <c r="Z257" s="1303"/>
      <c r="AA257" s="106"/>
      <c r="AB257" s="572" t="str">
        <f>X!C333</f>
        <v>(calore utilizzato / consumo di energia elettrica per il caldo)</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03" t="str">
        <f>IF(AU255=0,"--",AU254/AU255)</f>
        <v>--</v>
      </c>
      <c r="AW257" s="1303"/>
      <c r="AX257" s="1303"/>
      <c r="AY257" s="106"/>
      <c r="AZ257" s="572" t="str">
        <f>AB257</f>
        <v>(calore utilizzato / consumo di energia elettrica per il caldo)</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Sistema complessivo (freddo + calore)</v>
      </c>
      <c r="I259" s="74"/>
      <c r="J259" s="74"/>
      <c r="K259" s="74"/>
      <c r="L259" s="74"/>
      <c r="M259" s="74"/>
      <c r="N259" s="74"/>
      <c r="O259" s="74"/>
      <c r="P259" s="74"/>
      <c r="Q259" s="74"/>
      <c r="R259" s="74"/>
      <c r="S259" s="74"/>
      <c r="T259" s="74"/>
      <c r="U259" s="95"/>
      <c r="V259" s="74"/>
      <c r="W259" s="74"/>
      <c r="X259" s="1266"/>
      <c r="Y259" s="1293"/>
      <c r="Z259" s="1293"/>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66"/>
      <c r="AW259" s="1293"/>
      <c r="AX259" s="1293"/>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Calore + freddo utilizzati</v>
      </c>
      <c r="J260" s="74"/>
      <c r="K260" s="74"/>
      <c r="L260" s="74"/>
      <c r="M260" s="74"/>
      <c r="N260" s="74"/>
      <c r="O260" s="74"/>
      <c r="P260" s="74"/>
      <c r="Q260" s="74"/>
      <c r="R260" s="74"/>
      <c r="S260" s="74"/>
      <c r="T260" s="74"/>
      <c r="U260" s="95" t="s">
        <v>20</v>
      </c>
      <c r="V260" s="74"/>
      <c r="W260" s="1266">
        <f>W245+W254</f>
        <v>0</v>
      </c>
      <c r="X260" s="1266"/>
      <c r="Y260" s="1266"/>
      <c r="Z260" s="1266"/>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66">
        <f>AU245+AU254</f>
        <v>0</v>
      </c>
      <c r="AV260" s="1266"/>
      <c r="AW260" s="1266"/>
      <c r="AX260" s="1266"/>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Consumo di energia elettrica calore e freddo</v>
      </c>
      <c r="J261" s="74"/>
      <c r="K261" s="74"/>
      <c r="L261" s="74"/>
      <c r="M261" s="74"/>
      <c r="N261" s="74"/>
      <c r="O261" s="74"/>
      <c r="P261" s="74"/>
      <c r="Q261" s="74"/>
      <c r="R261" s="74"/>
      <c r="S261" s="74"/>
      <c r="T261" s="74"/>
      <c r="U261" s="95" t="s">
        <v>20</v>
      </c>
      <c r="V261" s="74"/>
      <c r="W261" s="1266">
        <f>W247+W255</f>
        <v>0</v>
      </c>
      <c r="X261" s="1266"/>
      <c r="Y261" s="1266"/>
      <c r="Z261" s="1266"/>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66">
        <f>AU247+AU255</f>
        <v>0</v>
      </c>
      <c r="AV261" s="1266"/>
      <c r="AW261" s="1266"/>
      <c r="AX261" s="1266"/>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371" t="str">
        <f>X!C337</f>
        <v>Indice di efficienza energetica (calore + freddo)</v>
      </c>
      <c r="J263" s="1371"/>
      <c r="K263" s="1371"/>
      <c r="L263" s="1371"/>
      <c r="M263" s="1371"/>
      <c r="N263" s="1371"/>
      <c r="O263" s="1371"/>
      <c r="P263" s="1371"/>
      <c r="Q263" s="1371"/>
      <c r="R263" s="1371"/>
      <c r="S263" s="1371"/>
      <c r="T263" s="74"/>
      <c r="U263" s="95" t="s">
        <v>258</v>
      </c>
      <c r="V263" s="74"/>
      <c r="W263" s="74"/>
      <c r="X263" s="1303">
        <f>IF(W261=0,0,W260/W261)</f>
        <v>0</v>
      </c>
      <c r="Y263" s="1303"/>
      <c r="Z263" s="1303"/>
      <c r="AA263" s="106"/>
      <c r="AB263" s="572" t="str">
        <f>X!C338</f>
        <v>((calore + freddo utilizzati) / consumo totale di energia elettrica)</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03">
        <f>IF(AU261=0,0,AU260/AU261)</f>
        <v>0</v>
      </c>
      <c r="AW263" s="1303"/>
      <c r="AX263" s="1303"/>
      <c r="AY263" s="106"/>
      <c r="AZ263" s="572" t="str">
        <f>AB263</f>
        <v>((calore + freddo utilizzati) / consumo totale di energia elettrica)</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Risultato della stima in base alle ipotesi del progettista</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80" t="str">
        <f>X!C457</f>
        <v>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v>
      </c>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H268" s="1480"/>
      <c r="AI268" s="1480"/>
      <c r="AJ268" s="1480"/>
      <c r="AK268" s="1480"/>
      <c r="AL268" s="1480"/>
      <c r="AM268" s="1480"/>
      <c r="AN268" s="1480"/>
      <c r="AO268" s="1480"/>
      <c r="AP268" s="1480"/>
      <c r="AQ268" s="1480"/>
      <c r="AR268" s="1480"/>
      <c r="AS268" s="1480"/>
      <c r="AT268" s="1480"/>
      <c r="AU268" s="1480"/>
      <c r="AV268" s="1480"/>
      <c r="AW268" s="1480"/>
      <c r="AX268" s="1480"/>
      <c r="AY268" s="1480"/>
      <c r="AZ268" s="1480"/>
      <c r="BA268" s="1480"/>
      <c r="BB268" s="1480"/>
      <c r="BC268" s="1480"/>
      <c r="BD268" s="1480"/>
      <c r="BE268" s="1480"/>
      <c r="BF268" s="1480"/>
      <c r="BG268" s="1480"/>
      <c r="BH268" s="1480"/>
      <c r="BI268" s="1480"/>
      <c r="BJ268" s="1480"/>
      <c r="BK268" s="1480"/>
      <c r="BL268" s="1480"/>
      <c r="BM268" s="1480"/>
      <c r="BN268" s="1480"/>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80"/>
      <c r="J269" s="1480"/>
      <c r="K269" s="1480"/>
      <c r="L269" s="1480"/>
      <c r="M269" s="1480"/>
      <c r="N269" s="1480"/>
      <c r="O269" s="1480"/>
      <c r="P269" s="1480"/>
      <c r="Q269" s="1480"/>
      <c r="R269" s="1480"/>
      <c r="S269" s="1480"/>
      <c r="T269" s="1480"/>
      <c r="U269" s="1480"/>
      <c r="V269" s="1480"/>
      <c r="W269" s="1480"/>
      <c r="X269" s="1480"/>
      <c r="Y269" s="1480"/>
      <c r="Z269" s="1480"/>
      <c r="AA269" s="1480"/>
      <c r="AB269" s="1480"/>
      <c r="AC269" s="1480"/>
      <c r="AD269" s="1480"/>
      <c r="AE269" s="1480"/>
      <c r="AF269" s="1480"/>
      <c r="AG269" s="1480"/>
      <c r="AH269" s="1480"/>
      <c r="AI269" s="1480"/>
      <c r="AJ269" s="1480"/>
      <c r="AK269" s="1480"/>
      <c r="AL269" s="1480"/>
      <c r="AM269" s="1480"/>
      <c r="AN269" s="1480"/>
      <c r="AO269" s="1480"/>
      <c r="AP269" s="1480"/>
      <c r="AQ269" s="1480"/>
      <c r="AR269" s="1480"/>
      <c r="AS269" s="1480"/>
      <c r="AT269" s="1480"/>
      <c r="AU269" s="1480"/>
      <c r="AV269" s="1480"/>
      <c r="AW269" s="1480"/>
      <c r="AX269" s="1480"/>
      <c r="AY269" s="1480"/>
      <c r="AZ269" s="1480"/>
      <c r="BA269" s="1480"/>
      <c r="BB269" s="1480"/>
      <c r="BC269" s="1480"/>
      <c r="BD269" s="1480"/>
      <c r="BE269" s="1480"/>
      <c r="BF269" s="1480"/>
      <c r="BG269" s="1480"/>
      <c r="BH269" s="1480"/>
      <c r="BI269" s="1480"/>
      <c r="BJ269" s="1480"/>
      <c r="BK269" s="1480"/>
      <c r="BL269" s="1480"/>
      <c r="BM269" s="1480"/>
      <c r="BN269" s="1480"/>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Consumo elettricità</v>
      </c>
      <c r="I271" s="74"/>
      <c r="J271" s="74"/>
      <c r="K271" s="74"/>
      <c r="L271" s="74"/>
      <c r="M271" s="74"/>
      <c r="N271" s="74"/>
      <c r="O271" s="74"/>
      <c r="P271" s="74"/>
      <c r="Q271" s="74"/>
      <c r="R271" s="74"/>
      <c r="S271" s="74"/>
      <c r="T271" s="74"/>
      <c r="U271" s="95"/>
      <c r="V271" s="74"/>
      <c r="W271" s="74"/>
      <c r="X271" s="1266"/>
      <c r="Y271" s="1293"/>
      <c r="Z271" s="1293"/>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Compressore</v>
      </c>
      <c r="J272" s="74"/>
      <c r="K272" s="74"/>
      <c r="L272" s="74"/>
      <c r="M272" s="74"/>
      <c r="N272" s="74"/>
      <c r="O272" s="74"/>
      <c r="P272" s="74"/>
      <c r="Q272" s="74"/>
      <c r="R272" s="74"/>
      <c r="S272" s="74"/>
      <c r="T272" s="74"/>
      <c r="U272" s="95" t="s">
        <v>20</v>
      </c>
      <c r="V272" s="74"/>
      <c r="W272" s="1266">
        <f>AM426</f>
        <v>0</v>
      </c>
      <c r="X272" s="1266"/>
      <c r="Y272" s="1266"/>
      <c r="Z272" s="1266"/>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66">
        <f>BK426</f>
        <v>0</v>
      </c>
      <c r="AV272" s="1266"/>
      <c r="AW272" s="1266"/>
      <c r="AX272" s="1266"/>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Aggregati ausiliari «parte caldo»</v>
      </c>
      <c r="J273" s="74"/>
      <c r="K273" s="74"/>
      <c r="L273" s="74"/>
      <c r="M273" s="74"/>
      <c r="N273" s="74"/>
      <c r="O273" s="74"/>
      <c r="P273" s="74"/>
      <c r="Q273" s="74"/>
      <c r="R273" s="74"/>
      <c r="S273" s="74"/>
      <c r="T273" s="74"/>
      <c r="U273" s="95" t="s">
        <v>20</v>
      </c>
      <c r="V273" s="74"/>
      <c r="W273" s="1266">
        <f>AN438</f>
        <v>0</v>
      </c>
      <c r="X273" s="1266"/>
      <c r="Y273" s="1266"/>
      <c r="Z273" s="1266"/>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66">
        <f>BL438</f>
        <v>0</v>
      </c>
      <c r="AV273" s="1266"/>
      <c r="AW273" s="1266"/>
      <c r="AX273" s="1266"/>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Aggregati ausiliari «parte freddo»</v>
      </c>
      <c r="J274" s="74"/>
      <c r="K274" s="74"/>
      <c r="L274" s="74"/>
      <c r="M274" s="74"/>
      <c r="N274" s="74"/>
      <c r="O274" s="74"/>
      <c r="P274" s="74"/>
      <c r="Q274" s="74"/>
      <c r="R274" s="74"/>
      <c r="S274" s="74"/>
      <c r="T274" s="74"/>
      <c r="U274" s="95" t="s">
        <v>20</v>
      </c>
      <c r="V274" s="74"/>
      <c r="W274" s="1266">
        <f>AF465</f>
        <v>0</v>
      </c>
      <c r="X274" s="1266"/>
      <c r="Y274" s="1266"/>
      <c r="Z274" s="1266"/>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267">
        <f>BD465</f>
        <v>0</v>
      </c>
      <c r="AV274" s="1267"/>
      <c r="AW274" s="1267"/>
      <c r="AX274" s="1267"/>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Consumo totale di elettricità</v>
      </c>
      <c r="J275" s="115"/>
      <c r="K275" s="115"/>
      <c r="L275" s="115"/>
      <c r="M275" s="115"/>
      <c r="N275" s="115"/>
      <c r="O275" s="115"/>
      <c r="P275" s="115"/>
      <c r="Q275" s="115"/>
      <c r="R275" s="115"/>
      <c r="S275" s="115"/>
      <c r="T275" s="115"/>
      <c r="U275" s="740" t="s">
        <v>20</v>
      </c>
      <c r="V275" s="741"/>
      <c r="W275" s="1373">
        <f>SUM(W272:Z274)</f>
        <v>0</v>
      </c>
      <c r="X275" s="1373"/>
      <c r="Y275" s="1373"/>
      <c r="Z275" s="1373"/>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373">
        <f>SUM(AU272:AX274)</f>
        <v>0</v>
      </c>
      <c r="AV275" s="1373"/>
      <c r="AW275" s="1373"/>
      <c r="AX275" s="1373"/>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Freddo</v>
      </c>
      <c r="I277" s="74"/>
      <c r="J277" s="74"/>
      <c r="K277" s="74"/>
      <c r="L277" s="74"/>
      <c r="M277" s="74"/>
      <c r="N277" s="74"/>
      <c r="O277" s="74"/>
      <c r="P277" s="74"/>
      <c r="Q277" s="74"/>
      <c r="R277" s="74"/>
      <c r="S277" s="74"/>
      <c r="T277" s="74"/>
      <c r="U277" s="95"/>
      <c r="V277" s="74"/>
      <c r="W277" s="74"/>
      <c r="X277" s="1266"/>
      <c r="Y277" s="1293"/>
      <c r="Z277" s="1293"/>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66"/>
      <c r="AW277" s="1293"/>
      <c r="AX277" s="1293"/>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Raffreddamento con la macchina refrigerante</v>
      </c>
      <c r="J278" s="74"/>
      <c r="K278" s="74"/>
      <c r="L278" s="74"/>
      <c r="M278" s="74"/>
      <c r="N278" s="74"/>
      <c r="O278" s="74"/>
      <c r="P278" s="74"/>
      <c r="Q278" s="74"/>
      <c r="R278" s="74"/>
      <c r="S278" s="74"/>
      <c r="T278" s="74"/>
      <c r="U278" s="95" t="s">
        <v>20</v>
      </c>
      <c r="V278" s="74"/>
      <c r="W278" s="1266">
        <f>W280</f>
        <v>0</v>
      </c>
      <c r="X278" s="1266"/>
      <c r="Y278" s="1266"/>
      <c r="Z278" s="1266"/>
      <c r="AA278" s="106"/>
      <c r="AB278" s="107"/>
      <c r="AD278" s="107"/>
      <c r="AE278" s="107"/>
      <c r="AF278" s="107"/>
      <c r="AG278" s="107"/>
      <c r="AH278" s="107"/>
      <c r="AI278" s="107"/>
      <c r="AJ278" s="107"/>
      <c r="AK278" s="106"/>
      <c r="AL278" s="106"/>
      <c r="AM278" s="106"/>
      <c r="AN278" s="106"/>
      <c r="AO278" s="106"/>
      <c r="AP278" s="106"/>
      <c r="AQ278" s="106"/>
      <c r="AR278" s="106"/>
      <c r="AS278" s="106"/>
      <c r="AT278" s="106"/>
      <c r="AU278" s="1266">
        <f>AU280</f>
        <v>0</v>
      </c>
      <c r="AV278" s="1266"/>
      <c r="AW278" s="1266"/>
      <c r="AX278" s="1266"/>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Raffreddamento con il free-cooling</v>
      </c>
      <c r="J279" s="74"/>
      <c r="K279" s="74"/>
      <c r="L279" s="74"/>
      <c r="M279" s="74"/>
      <c r="N279" s="74"/>
      <c r="O279" s="74"/>
      <c r="P279" s="74"/>
      <c r="Q279" s="74"/>
      <c r="R279" s="74"/>
      <c r="S279" s="74"/>
      <c r="T279" s="74"/>
      <c r="U279" s="506" t="s">
        <v>20</v>
      </c>
      <c r="V279" s="507"/>
      <c r="W279" s="1267" t="str">
        <f>IF(W281=0,"--",W281)</f>
        <v>--</v>
      </c>
      <c r="X279" s="1267"/>
      <c r="Y279" s="1267"/>
      <c r="Z279" s="1267"/>
      <c r="AA279" s="106"/>
      <c r="AB279" s="107"/>
      <c r="AD279" s="107"/>
      <c r="AE279" s="107"/>
      <c r="AF279" s="107"/>
      <c r="AG279" s="107"/>
      <c r="AH279" s="107"/>
      <c r="AI279" s="107"/>
      <c r="AJ279" s="107"/>
      <c r="AK279" s="106"/>
      <c r="AL279" s="106"/>
      <c r="AM279" s="106"/>
      <c r="AN279" s="106"/>
      <c r="AO279" s="106"/>
      <c r="AP279" s="106"/>
      <c r="AQ279" s="106"/>
      <c r="AR279" s="106"/>
      <c r="AS279" s="106"/>
      <c r="AT279" s="106"/>
      <c r="AU279" s="1267" t="str">
        <f>IF(AU281=0,"--",AU281)</f>
        <v>--</v>
      </c>
      <c r="AV279" s="1267"/>
      <c r="AW279" s="1267"/>
      <c r="AX279" s="1267"/>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Raffreddamento con la macchina refrigerante</v>
      </c>
      <c r="J280" s="74"/>
      <c r="K280" s="74"/>
      <c r="L280" s="74"/>
      <c r="M280" s="74"/>
      <c r="N280" s="74"/>
      <c r="O280" s="74"/>
      <c r="P280" s="74"/>
      <c r="Q280" s="74"/>
      <c r="R280" s="74"/>
      <c r="S280" s="74"/>
      <c r="T280" s="74"/>
      <c r="U280" s="95" t="s">
        <v>20</v>
      </c>
      <c r="V280" s="74"/>
      <c r="W280" s="1266">
        <f>AM411</f>
        <v>0</v>
      </c>
      <c r="X280" s="1266"/>
      <c r="Y280" s="1266"/>
      <c r="Z280" s="1266"/>
      <c r="AA280" s="106"/>
      <c r="AB280" s="107"/>
      <c r="AD280" s="107"/>
      <c r="AE280" s="107"/>
      <c r="AF280" s="107"/>
      <c r="AG280" s="107"/>
      <c r="AH280" s="107"/>
      <c r="AI280" s="107"/>
      <c r="AJ280" s="107"/>
      <c r="AK280" s="106"/>
      <c r="AL280" s="106"/>
      <c r="AM280" s="106"/>
      <c r="AN280" s="106"/>
      <c r="AO280" s="106"/>
      <c r="AP280" s="106"/>
      <c r="AQ280" s="106"/>
      <c r="AR280" s="106"/>
      <c r="AS280" s="106"/>
      <c r="AT280" s="106"/>
      <c r="AU280" s="1266">
        <f>BK411</f>
        <v>0</v>
      </c>
      <c r="AV280" s="1266"/>
      <c r="AW280" s="1266"/>
      <c r="AX280" s="1266"/>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Raffreddamento con il free-cooling</v>
      </c>
      <c r="J281" s="74"/>
      <c r="K281" s="74"/>
      <c r="L281" s="74"/>
      <c r="M281" s="74"/>
      <c r="N281" s="74"/>
      <c r="O281" s="74"/>
      <c r="P281" s="74"/>
      <c r="Q281" s="74"/>
      <c r="R281" s="74"/>
      <c r="S281" s="74"/>
      <c r="T281" s="74"/>
      <c r="U281" s="506" t="s">
        <v>20</v>
      </c>
      <c r="V281" s="507"/>
      <c r="W281" s="1267">
        <f>AM410</f>
        <v>0</v>
      </c>
      <c r="X281" s="1267"/>
      <c r="Y281" s="1267"/>
      <c r="Z281" s="1267"/>
      <c r="AA281" s="106"/>
      <c r="AB281" s="107"/>
      <c r="AD281" s="107"/>
      <c r="AE281" s="107"/>
      <c r="AF281" s="107"/>
      <c r="AG281" s="107"/>
      <c r="AH281" s="107"/>
      <c r="AI281" s="107"/>
      <c r="AJ281" s="107"/>
      <c r="AK281" s="106"/>
      <c r="AL281" s="106"/>
      <c r="AM281" s="106"/>
      <c r="AN281" s="106"/>
      <c r="AO281" s="106"/>
      <c r="AP281" s="106"/>
      <c r="AQ281" s="106"/>
      <c r="AR281" s="106"/>
      <c r="AS281" s="106"/>
      <c r="AT281" s="106"/>
      <c r="AU281" s="1267">
        <f>BK410</f>
        <v>0</v>
      </c>
      <c r="AV281" s="1267"/>
      <c r="AW281" s="1267"/>
      <c r="AX281" s="1267"/>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Freddo utilizzato</v>
      </c>
      <c r="J282" s="115"/>
      <c r="K282" s="115"/>
      <c r="L282" s="115"/>
      <c r="M282" s="115"/>
      <c r="N282" s="115"/>
      <c r="O282" s="115"/>
      <c r="P282" s="115"/>
      <c r="Q282" s="115"/>
      <c r="R282" s="115"/>
      <c r="S282" s="115"/>
      <c r="T282" s="115"/>
      <c r="U282" s="151" t="s">
        <v>20</v>
      </c>
      <c r="V282" s="115"/>
      <c r="W282" s="1307">
        <f>W280+W281</f>
        <v>0</v>
      </c>
      <c r="X282" s="1307"/>
      <c r="Y282" s="1307"/>
      <c r="Z282" s="1307"/>
      <c r="AA282" s="137"/>
      <c r="AB282" s="510"/>
      <c r="AD282" s="510"/>
      <c r="AE282" s="510"/>
      <c r="AF282" s="510"/>
      <c r="AG282" s="510"/>
      <c r="AH282" s="510"/>
      <c r="AI282" s="510"/>
      <c r="AJ282" s="510"/>
      <c r="AK282" s="137"/>
      <c r="AL282" s="137"/>
      <c r="AM282" s="137"/>
      <c r="AN282" s="137"/>
      <c r="AO282" s="137"/>
      <c r="AP282" s="137"/>
      <c r="AQ282" s="137"/>
      <c r="AR282" s="137"/>
      <c r="AS282" s="137"/>
      <c r="AT282" s="137"/>
      <c r="AU282" s="1307">
        <f>AU280+AU281</f>
        <v>0</v>
      </c>
      <c r="AV282" s="1307"/>
      <c r="AW282" s="1307"/>
      <c r="AX282" s="1307"/>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Consumo di energia elettrica per il freddo</v>
      </c>
      <c r="J284" s="74"/>
      <c r="K284" s="74"/>
      <c r="L284" s="74"/>
      <c r="M284" s="74"/>
      <c r="N284" s="74"/>
      <c r="O284" s="74"/>
      <c r="P284" s="74"/>
      <c r="Q284" s="74"/>
      <c r="R284" s="74"/>
      <c r="S284" s="74"/>
      <c r="T284" s="74"/>
      <c r="U284" s="95" t="s">
        <v>20</v>
      </c>
      <c r="V284" s="74"/>
      <c r="W284" s="1266">
        <f>W275-W292</f>
        <v>0</v>
      </c>
      <c r="X284" s="1266"/>
      <c r="Y284" s="1266"/>
      <c r="Z284" s="1266"/>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66">
        <f>AU275-AU292</f>
        <v>0</v>
      </c>
      <c r="AV284" s="1266"/>
      <c r="AW284" s="1266"/>
      <c r="AX284" s="1266"/>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371" t="str">
        <f t="shared" ref="I286:S286" si="3">I249</f>
        <v>Indice di efficienza energetica (freddo)</v>
      </c>
      <c r="J286" s="1371">
        <f t="shared" si="3"/>
        <v>0</v>
      </c>
      <c r="K286" s="1371">
        <f t="shared" si="3"/>
        <v>0</v>
      </c>
      <c r="L286" s="1371">
        <f t="shared" si="3"/>
        <v>0</v>
      </c>
      <c r="M286" s="1371">
        <f t="shared" si="3"/>
        <v>0</v>
      </c>
      <c r="N286" s="1371">
        <f t="shared" si="3"/>
        <v>0</v>
      </c>
      <c r="O286" s="1371">
        <f t="shared" si="3"/>
        <v>0</v>
      </c>
      <c r="P286" s="1371">
        <f t="shared" si="3"/>
        <v>0</v>
      </c>
      <c r="Q286" s="1371">
        <f t="shared" si="3"/>
        <v>0</v>
      </c>
      <c r="R286" s="1371">
        <f t="shared" si="3"/>
        <v>0</v>
      </c>
      <c r="S286" s="1371">
        <f t="shared" si="3"/>
        <v>0</v>
      </c>
      <c r="T286" s="74"/>
      <c r="U286" s="95" t="s">
        <v>258</v>
      </c>
      <c r="V286" s="74"/>
      <c r="W286" s="74"/>
      <c r="X286" s="1303">
        <f>IF(W284=0,0,W282/W284)</f>
        <v>0</v>
      </c>
      <c r="Y286" s="1303"/>
      <c r="Z286" s="1303"/>
      <c r="AA286" s="106"/>
      <c r="AB286" s="572" t="str">
        <f>AB249</f>
        <v>(Totale freddo / consumo di energia elettrica per il freddo)</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03">
        <f>IF(AU284=0,0,AU282/AU284)</f>
        <v>0</v>
      </c>
      <c r="AW286" s="1303"/>
      <c r="AX286" s="1303"/>
      <c r="AY286" s="106"/>
      <c r="AZ286" s="572" t="str">
        <f>AB286</f>
        <v>(Totale freddo / consumo di energia elettrica per il freddo)</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Calore</v>
      </c>
      <c r="I288" s="74"/>
      <c r="J288" s="74"/>
      <c r="K288" s="74"/>
      <c r="L288" s="74"/>
      <c r="M288" s="74"/>
      <c r="N288" s="74"/>
      <c r="O288" s="74"/>
      <c r="P288" s="74"/>
      <c r="Q288" s="74"/>
      <c r="R288" s="74"/>
      <c r="S288" s="74"/>
      <c r="T288" s="74"/>
      <c r="U288" s="95"/>
      <c r="V288" s="74"/>
      <c r="W288" s="74"/>
      <c r="X288" s="1266"/>
      <c r="Y288" s="1293"/>
      <c r="Z288" s="1293"/>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66"/>
      <c r="AW288" s="1293"/>
      <c r="AX288" s="1293"/>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Calore utilizzato</v>
      </c>
      <c r="J289" s="74"/>
      <c r="K289" s="74"/>
      <c r="L289" s="74"/>
      <c r="M289" s="74"/>
      <c r="N289" s="74"/>
      <c r="O289" s="74"/>
      <c r="P289" s="74"/>
      <c r="Q289" s="74"/>
      <c r="R289" s="74"/>
      <c r="S289" s="74"/>
      <c r="T289" s="74"/>
      <c r="U289" s="95" t="s">
        <v>20</v>
      </c>
      <c r="V289" s="74"/>
      <c r="W289" s="1266" t="str">
        <f>IF(W291=0,"--",W291)</f>
        <v>--</v>
      </c>
      <c r="X289" s="1266"/>
      <c r="Y289" s="1266"/>
      <c r="Z289" s="1266"/>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66" t="str">
        <f>IF(AU291=0,"--",AU291)</f>
        <v>--</v>
      </c>
      <c r="AV289" s="1266"/>
      <c r="AW289" s="1266"/>
      <c r="AX289" s="1266"/>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Indice di efficienza energetica (calore)</v>
      </c>
      <c r="J290" s="74"/>
      <c r="K290" s="74"/>
      <c r="L290" s="74"/>
      <c r="M290" s="74"/>
      <c r="N290" s="74"/>
      <c r="O290" s="74"/>
      <c r="P290" s="74"/>
      <c r="Q290" s="74"/>
      <c r="R290" s="74"/>
      <c r="S290" s="74"/>
      <c r="T290" s="74"/>
      <c r="U290" s="95" t="s">
        <v>20</v>
      </c>
      <c r="V290" s="74"/>
      <c r="W290" s="1266" t="str">
        <f>IF(W292=0,"--",W292)</f>
        <v>--</v>
      </c>
      <c r="X290" s="1266"/>
      <c r="Y290" s="1266"/>
      <c r="Z290" s="1266"/>
      <c r="AA290" s="106"/>
      <c r="AB290" s="573" t="str">
        <f>AB253</f>
        <v>(Aumento della temperatura di condensazione)</v>
      </c>
      <c r="AC290" s="107"/>
      <c r="AD290" s="107"/>
      <c r="AE290" s="107"/>
      <c r="AF290" s="107"/>
      <c r="AG290" s="107"/>
      <c r="AH290" s="107"/>
      <c r="AI290" s="107"/>
      <c r="AJ290" s="107"/>
      <c r="AK290" s="106"/>
      <c r="AL290" s="106"/>
      <c r="AM290" s="106"/>
      <c r="AN290" s="106"/>
      <c r="AO290" s="106"/>
      <c r="AP290" s="106"/>
      <c r="AQ290" s="106"/>
      <c r="AR290" s="106"/>
      <c r="AS290" s="106"/>
      <c r="AT290" s="106"/>
      <c r="AU290" s="1266" t="str">
        <f>IF(AU292=0,"--",AU292)</f>
        <v>--</v>
      </c>
      <c r="AV290" s="1266"/>
      <c r="AW290" s="1266"/>
      <c r="AX290" s="1266"/>
      <c r="AY290" s="106"/>
      <c r="AZ290" s="573" t="str">
        <f>AZ253</f>
        <v>(Aumento della temperatura di condensazione)</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Calore utilizzato</v>
      </c>
      <c r="J291" s="74"/>
      <c r="K291" s="74"/>
      <c r="L291" s="74"/>
      <c r="M291" s="74"/>
      <c r="N291" s="74"/>
      <c r="O291" s="74"/>
      <c r="P291" s="74"/>
      <c r="Q291" s="74"/>
      <c r="R291" s="74"/>
      <c r="S291" s="74"/>
      <c r="T291" s="74"/>
      <c r="U291" s="95" t="s">
        <v>20</v>
      </c>
      <c r="V291" s="74"/>
      <c r="W291" s="1266">
        <f>AM994</f>
        <v>0</v>
      </c>
      <c r="X291" s="1266"/>
      <c r="Y291" s="1266"/>
      <c r="Z291" s="1266"/>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66">
        <f>BK994</f>
        <v>0</v>
      </c>
      <c r="AV291" s="1266"/>
      <c r="AW291" s="1266"/>
      <c r="AX291" s="1266"/>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consumo aggiuntivo di elettricità</v>
      </c>
      <c r="J292" s="74"/>
      <c r="K292" s="74"/>
      <c r="L292" s="74"/>
      <c r="M292" s="74"/>
      <c r="N292" s="74"/>
      <c r="O292" s="74"/>
      <c r="P292" s="74"/>
      <c r="Q292" s="74"/>
      <c r="R292" s="74"/>
      <c r="S292" s="74"/>
      <c r="T292" s="74"/>
      <c r="U292" s="95" t="s">
        <v>20</v>
      </c>
      <c r="V292" s="74"/>
      <c r="W292" s="1266">
        <f>AM1006+X443*AN437</f>
        <v>0</v>
      </c>
      <c r="X292" s="1266"/>
      <c r="Y292" s="1266"/>
      <c r="Z292" s="1266"/>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66">
        <f>BK1006+AV443*BL437</f>
        <v>0</v>
      </c>
      <c r="AV292" s="1266"/>
      <c r="AW292" s="1266"/>
      <c r="AX292" s="1266"/>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371" t="str">
        <f t="shared" ref="I294:S294" si="4">I257</f>
        <v>Indice di efficienza energetica (calore)</v>
      </c>
      <c r="J294" s="1371">
        <f t="shared" si="4"/>
        <v>0</v>
      </c>
      <c r="K294" s="1371">
        <f t="shared" si="4"/>
        <v>0</v>
      </c>
      <c r="L294" s="1371">
        <f t="shared" si="4"/>
        <v>0</v>
      </c>
      <c r="M294" s="1371">
        <f t="shared" si="4"/>
        <v>0</v>
      </c>
      <c r="N294" s="1371">
        <f t="shared" si="4"/>
        <v>0</v>
      </c>
      <c r="O294" s="1371">
        <f t="shared" si="4"/>
        <v>0</v>
      </c>
      <c r="P294" s="1371">
        <f t="shared" si="4"/>
        <v>0</v>
      </c>
      <c r="Q294" s="1371">
        <f t="shared" si="4"/>
        <v>0</v>
      </c>
      <c r="R294" s="1371">
        <f t="shared" si="4"/>
        <v>0</v>
      </c>
      <c r="S294" s="1371">
        <f t="shared" si="4"/>
        <v>0</v>
      </c>
      <c r="T294" s="74"/>
      <c r="U294" s="95" t="s">
        <v>258</v>
      </c>
      <c r="V294" s="74"/>
      <c r="W294" s="74"/>
      <c r="X294" s="1303" t="str">
        <f>IF(W292=0,"--",W291/W292)</f>
        <v>--</v>
      </c>
      <c r="Y294" s="1303"/>
      <c r="Z294" s="1303"/>
      <c r="AA294" s="106"/>
      <c r="AB294" s="572" t="str">
        <f>AB257</f>
        <v>(calore utilizzato / consumo di energia elettrica per il caldo)</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03" t="str">
        <f>IF(AU292=0,"--",AU291/AU292)</f>
        <v>--</v>
      </c>
      <c r="AW294" s="1303"/>
      <c r="AX294" s="1303"/>
      <c r="AY294" s="106"/>
      <c r="AZ294" s="572" t="str">
        <f>AB294</f>
        <v>(calore utilizzato / consumo di energia elettrica per il caldo)</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Sistema complessivo (freddo + calore)</v>
      </c>
      <c r="I296" s="74"/>
      <c r="J296" s="74"/>
      <c r="K296" s="74"/>
      <c r="L296" s="74"/>
      <c r="M296" s="74"/>
      <c r="N296" s="74"/>
      <c r="O296" s="74"/>
      <c r="P296" s="74"/>
      <c r="Q296" s="74"/>
      <c r="R296" s="74"/>
      <c r="S296" s="74"/>
      <c r="T296" s="74"/>
      <c r="U296" s="95"/>
      <c r="V296" s="74"/>
      <c r="W296" s="74"/>
      <c r="X296" s="1266"/>
      <c r="Y296" s="1293"/>
      <c r="Z296" s="1293"/>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66"/>
      <c r="AW296" s="1293"/>
      <c r="AX296" s="1293"/>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Calore + freddo utilizzati</v>
      </c>
      <c r="J297" s="74"/>
      <c r="K297" s="74"/>
      <c r="L297" s="74"/>
      <c r="M297" s="74"/>
      <c r="N297" s="74"/>
      <c r="O297" s="74"/>
      <c r="P297" s="74"/>
      <c r="Q297" s="74"/>
      <c r="R297" s="74"/>
      <c r="S297" s="74"/>
      <c r="T297" s="74"/>
      <c r="U297" s="95" t="s">
        <v>20</v>
      </c>
      <c r="V297" s="74"/>
      <c r="W297" s="1266">
        <f>W282+W291</f>
        <v>0</v>
      </c>
      <c r="X297" s="1266"/>
      <c r="Y297" s="1266"/>
      <c r="Z297" s="1266"/>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66">
        <f>AU282+AU291</f>
        <v>0</v>
      </c>
      <c r="AV297" s="1266"/>
      <c r="AW297" s="1266"/>
      <c r="AX297" s="1266"/>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Consumo di energia elettrica calore e freddo</v>
      </c>
      <c r="J298" s="74"/>
      <c r="K298" s="74"/>
      <c r="L298" s="74"/>
      <c r="M298" s="74"/>
      <c r="N298" s="74"/>
      <c r="O298" s="74"/>
      <c r="P298" s="74"/>
      <c r="Q298" s="74"/>
      <c r="R298" s="74"/>
      <c r="S298" s="74"/>
      <c r="T298" s="74"/>
      <c r="U298" s="95" t="s">
        <v>20</v>
      </c>
      <c r="V298" s="74"/>
      <c r="W298" s="1266">
        <f>W284+W292</f>
        <v>0</v>
      </c>
      <c r="X298" s="1266"/>
      <c r="Y298" s="1266"/>
      <c r="Z298" s="1266"/>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66">
        <f>AU284+AU292</f>
        <v>0</v>
      </c>
      <c r="AV298" s="1266"/>
      <c r="AW298" s="1266"/>
      <c r="AX298" s="1266"/>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371" t="str">
        <f t="shared" ref="I300:S300" si="5">I263</f>
        <v>Indice di efficienza energetica (calore + freddo)</v>
      </c>
      <c r="J300" s="1371">
        <f t="shared" si="5"/>
        <v>0</v>
      </c>
      <c r="K300" s="1371">
        <f t="shared" si="5"/>
        <v>0</v>
      </c>
      <c r="L300" s="1371">
        <f t="shared" si="5"/>
        <v>0</v>
      </c>
      <c r="M300" s="1371">
        <f t="shared" si="5"/>
        <v>0</v>
      </c>
      <c r="N300" s="1371">
        <f t="shared" si="5"/>
        <v>0</v>
      </c>
      <c r="O300" s="1371">
        <f t="shared" si="5"/>
        <v>0</v>
      </c>
      <c r="P300" s="1371">
        <f t="shared" si="5"/>
        <v>0</v>
      </c>
      <c r="Q300" s="1371">
        <f t="shared" si="5"/>
        <v>0</v>
      </c>
      <c r="R300" s="1371">
        <f t="shared" si="5"/>
        <v>0</v>
      </c>
      <c r="S300" s="1371">
        <f t="shared" si="5"/>
        <v>0</v>
      </c>
      <c r="T300" s="74"/>
      <c r="U300" s="95" t="s">
        <v>258</v>
      </c>
      <c r="V300" s="74"/>
      <c r="W300" s="74"/>
      <c r="X300" s="1303">
        <f>IF(W298=0,0,W297/W298)</f>
        <v>0</v>
      </c>
      <c r="Y300" s="1303"/>
      <c r="Z300" s="1303"/>
      <c r="AA300" s="106"/>
      <c r="AB300" s="572" t="str">
        <f>AB263</f>
        <v>((calore + freddo utilizzati) / consumo totale di energia elettrica)</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03">
        <f>IF(AU298=0,0,AU297/AU298)</f>
        <v>0</v>
      </c>
      <c r="AW300" s="1303"/>
      <c r="AX300" s="1303"/>
      <c r="AY300" s="106"/>
      <c r="AZ300" s="572" t="str">
        <f>AB300</f>
        <v>((calore + freddo utilizzati) / consumo totale di energia elettrica)</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Fabbisogno di calore (stimato)</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301" t="str">
        <f>W203</f>
        <v>Primavera</v>
      </c>
      <c r="X305" s="1301"/>
      <c r="Y305" s="1301"/>
      <c r="Z305" s="1301"/>
      <c r="AA305" s="1301" t="str">
        <f>AA203</f>
        <v>Estate</v>
      </c>
      <c r="AB305" s="1301"/>
      <c r="AC305" s="1301"/>
      <c r="AD305" s="1301"/>
      <c r="AE305" s="1301" t="str">
        <f>AE203</f>
        <v>Autunno</v>
      </c>
      <c r="AF305" s="1301"/>
      <c r="AG305" s="1301"/>
      <c r="AH305" s="1301"/>
      <c r="AI305" s="1301" t="str">
        <f>AI203</f>
        <v>Inverno</v>
      </c>
      <c r="AJ305" s="1301"/>
      <c r="AK305" s="1301"/>
      <c r="AL305" s="1301"/>
      <c r="AM305" s="1301" t="str">
        <f>AN185</f>
        <v>Anno</v>
      </c>
      <c r="AN305" s="1301"/>
      <c r="AO305" s="1301"/>
      <c r="AP305" s="1301"/>
      <c r="AU305" s="1301" t="str">
        <f>AU203</f>
        <v>Primavera</v>
      </c>
      <c r="AV305" s="1301"/>
      <c r="AW305" s="1301"/>
      <c r="AX305" s="1301"/>
      <c r="AY305" s="1301" t="str">
        <f>AY203</f>
        <v>Estate</v>
      </c>
      <c r="AZ305" s="1301"/>
      <c r="BA305" s="1301"/>
      <c r="BB305" s="1301"/>
      <c r="BC305" s="1301" t="str">
        <f>BC203</f>
        <v>Autunno</v>
      </c>
      <c r="BD305" s="1301"/>
      <c r="BE305" s="1301"/>
      <c r="BF305" s="1301"/>
      <c r="BG305" s="1301" t="str">
        <f>BG203</f>
        <v>Inverno</v>
      </c>
      <c r="BH305" s="1301"/>
      <c r="BI305" s="1301"/>
      <c r="BJ305" s="1301"/>
      <c r="BK305" s="1301" t="str">
        <f>BL185</f>
        <v>Anno</v>
      </c>
      <c r="BL305" s="1301"/>
      <c r="BM305" s="1301"/>
      <c r="BN305" s="1301"/>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Per acqua potabile calda</v>
      </c>
      <c r="K306" s="499"/>
      <c r="L306" s="499"/>
      <c r="M306" s="499"/>
      <c r="N306" s="499"/>
      <c r="O306" s="499"/>
      <c r="P306" s="499"/>
      <c r="Q306" s="499"/>
      <c r="R306" s="499"/>
      <c r="S306" s="499"/>
      <c r="T306" s="499"/>
      <c r="U306" s="498" t="s">
        <v>176</v>
      </c>
      <c r="V306" s="499"/>
      <c r="W306" s="1300" t="str">
        <f>IF(W953=0,"--",W953)</f>
        <v>--</v>
      </c>
      <c r="X306" s="1301"/>
      <c r="Y306" s="1301"/>
      <c r="Z306" s="1301"/>
      <c r="AA306" s="1300" t="str">
        <f t="shared" ref="AA306" si="6">IF(AA953=0,"--",AA953)</f>
        <v>--</v>
      </c>
      <c r="AB306" s="1301"/>
      <c r="AC306" s="1301"/>
      <c r="AD306" s="1301"/>
      <c r="AE306" s="1300" t="str">
        <f t="shared" ref="AE306" si="7">IF(AE953=0,"--",AE953)</f>
        <v>--</v>
      </c>
      <c r="AF306" s="1301"/>
      <c r="AG306" s="1301"/>
      <c r="AH306" s="1301"/>
      <c r="AI306" s="1300" t="str">
        <f t="shared" ref="AI306" si="8">IF(AI953=0,"--",AI953)</f>
        <v>--</v>
      </c>
      <c r="AJ306" s="1301"/>
      <c r="AK306" s="1301"/>
      <c r="AL306" s="1301"/>
      <c r="AM306" s="1300" t="str">
        <f t="shared" ref="AM306" si="9">IF(AM953=0,"--",AM953)</f>
        <v>--</v>
      </c>
      <c r="AN306" s="1301"/>
      <c r="AO306" s="1301"/>
      <c r="AP306" s="1301"/>
      <c r="AQ306" s="560"/>
      <c r="AR306" s="560"/>
      <c r="AS306" s="561"/>
      <c r="AT306" s="561"/>
      <c r="AU306" s="1300" t="str">
        <f>IF(AU953=0,"--",AU953)</f>
        <v>--</v>
      </c>
      <c r="AV306" s="1301"/>
      <c r="AW306" s="1301"/>
      <c r="AX306" s="1301"/>
      <c r="AY306" s="1300" t="str">
        <f t="shared" ref="AY306" si="10">IF(AY953=0,"--",AY953)</f>
        <v>--</v>
      </c>
      <c r="AZ306" s="1301"/>
      <c r="BA306" s="1301"/>
      <c r="BB306" s="1301"/>
      <c r="BC306" s="1300" t="str">
        <f t="shared" ref="BC306" si="11">IF(BC953=0,"--",BC953)</f>
        <v>--</v>
      </c>
      <c r="BD306" s="1301"/>
      <c r="BE306" s="1301"/>
      <c r="BF306" s="1301"/>
      <c r="BG306" s="1300" t="str">
        <f t="shared" ref="BG306" si="12">IF(BG953=0,"--",BG953)</f>
        <v>--</v>
      </c>
      <c r="BH306" s="1301"/>
      <c r="BI306" s="1301"/>
      <c r="BJ306" s="1301"/>
      <c r="BK306" s="1300" t="str">
        <f t="shared" ref="BK306" si="13">IF(BK953=0,"--",BK953)</f>
        <v>--</v>
      </c>
      <c r="BL306" s="1301"/>
      <c r="BM306" s="1301"/>
      <c r="BN306" s="1301"/>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Per il riscaldamento</v>
      </c>
      <c r="K307" s="499"/>
      <c r="L307" s="499"/>
      <c r="M307" s="499"/>
      <c r="N307" s="499"/>
      <c r="O307" s="499"/>
      <c r="P307" s="499"/>
      <c r="Q307" s="499"/>
      <c r="R307" s="499"/>
      <c r="S307" s="499"/>
      <c r="T307" s="499"/>
      <c r="U307" s="498" t="s">
        <v>176</v>
      </c>
      <c r="V307" s="499"/>
      <c r="W307" s="1300" t="str">
        <f t="shared" ref="W307:W308" si="14">IF(W954=0,"--",W954)</f>
        <v>--</v>
      </c>
      <c r="X307" s="1301"/>
      <c r="Y307" s="1301"/>
      <c r="Z307" s="1301"/>
      <c r="AA307" s="1300" t="str">
        <f t="shared" ref="AA307" si="15">IF(AA954=0,"--",AA954)</f>
        <v>--</v>
      </c>
      <c r="AB307" s="1301"/>
      <c r="AC307" s="1301"/>
      <c r="AD307" s="1301"/>
      <c r="AE307" s="1300" t="str">
        <f t="shared" ref="AE307" si="16">IF(AE954=0,"--",AE954)</f>
        <v>--</v>
      </c>
      <c r="AF307" s="1301"/>
      <c r="AG307" s="1301"/>
      <c r="AH307" s="1301"/>
      <c r="AI307" s="1300" t="str">
        <f t="shared" ref="AI307" si="17">IF(AI954=0,"--",AI954)</f>
        <v>--</v>
      </c>
      <c r="AJ307" s="1301"/>
      <c r="AK307" s="1301"/>
      <c r="AL307" s="1301"/>
      <c r="AM307" s="1300" t="str">
        <f t="shared" ref="AM307" si="18">IF(AM954=0,"--",AM954)</f>
        <v>--</v>
      </c>
      <c r="AN307" s="1301"/>
      <c r="AO307" s="1301"/>
      <c r="AP307" s="1301"/>
      <c r="AQ307" s="560"/>
      <c r="AR307" s="560"/>
      <c r="AS307" s="561"/>
      <c r="AT307" s="561"/>
      <c r="AU307" s="1300" t="str">
        <f t="shared" ref="AU307:AU308" si="19">IF(AU954=0,"--",AU954)</f>
        <v>--</v>
      </c>
      <c r="AV307" s="1301"/>
      <c r="AW307" s="1301"/>
      <c r="AX307" s="1301"/>
      <c r="AY307" s="1300" t="str">
        <f t="shared" ref="AY307" si="20">IF(AY954=0,"--",AY954)</f>
        <v>--</v>
      </c>
      <c r="AZ307" s="1301"/>
      <c r="BA307" s="1301"/>
      <c r="BB307" s="1301"/>
      <c r="BC307" s="1300" t="str">
        <f t="shared" ref="BC307" si="21">IF(BC954=0,"--",BC954)</f>
        <v>--</v>
      </c>
      <c r="BD307" s="1301"/>
      <c r="BE307" s="1301"/>
      <c r="BF307" s="1301"/>
      <c r="BG307" s="1300" t="str">
        <f t="shared" ref="BG307" si="22">IF(BG954=0,"--",BG954)</f>
        <v>--</v>
      </c>
      <c r="BH307" s="1301"/>
      <c r="BI307" s="1301"/>
      <c r="BJ307" s="1301"/>
      <c r="BK307" s="1300" t="str">
        <f t="shared" ref="BK307" si="23">IF(BK954=0,"--",BK954)</f>
        <v>--</v>
      </c>
      <c r="BL307" s="1301"/>
      <c r="BM307" s="1301"/>
      <c r="BN307" s="1301"/>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Per altri scopi (p.es. processi)</v>
      </c>
      <c r="J308" s="485"/>
      <c r="K308" s="499"/>
      <c r="L308" s="499"/>
      <c r="M308" s="499"/>
      <c r="N308" s="499"/>
      <c r="O308" s="499"/>
      <c r="P308" s="499"/>
      <c r="Q308" s="499"/>
      <c r="R308" s="499"/>
      <c r="S308" s="499"/>
      <c r="T308" s="499"/>
      <c r="U308" s="498" t="s">
        <v>176</v>
      </c>
      <c r="V308" s="499"/>
      <c r="W308" s="1340" t="str">
        <f t="shared" si="14"/>
        <v>--</v>
      </c>
      <c r="X308" s="1341"/>
      <c r="Y308" s="1341"/>
      <c r="Z308" s="1341"/>
      <c r="AA308" s="1340" t="str">
        <f t="shared" ref="AA308" si="24">IF(AA955=0,"--",AA955)</f>
        <v>--</v>
      </c>
      <c r="AB308" s="1341"/>
      <c r="AC308" s="1341"/>
      <c r="AD308" s="1341"/>
      <c r="AE308" s="1340" t="str">
        <f t="shared" ref="AE308" si="25">IF(AE955=0,"--",AE955)</f>
        <v>--</v>
      </c>
      <c r="AF308" s="1341"/>
      <c r="AG308" s="1341"/>
      <c r="AH308" s="1341"/>
      <c r="AI308" s="1340" t="str">
        <f t="shared" ref="AI308" si="26">IF(AI955=0,"--",AI955)</f>
        <v>--</v>
      </c>
      <c r="AJ308" s="1341"/>
      <c r="AK308" s="1341"/>
      <c r="AL308" s="1341"/>
      <c r="AM308" s="1340" t="str">
        <f t="shared" ref="AM308" si="27">IF(AM955=0,"--",AM955)</f>
        <v>--</v>
      </c>
      <c r="AN308" s="1341"/>
      <c r="AO308" s="1341"/>
      <c r="AP308" s="1341"/>
      <c r="AQ308" s="560"/>
      <c r="AR308" s="562"/>
      <c r="AS308" s="561"/>
      <c r="AT308" s="561"/>
      <c r="AU308" s="1340" t="str">
        <f t="shared" si="19"/>
        <v>--</v>
      </c>
      <c r="AV308" s="1341"/>
      <c r="AW308" s="1341"/>
      <c r="AX308" s="1341"/>
      <c r="AY308" s="1340" t="str">
        <f t="shared" ref="AY308" si="28">IF(AY955=0,"--",AY955)</f>
        <v>--</v>
      </c>
      <c r="AZ308" s="1341"/>
      <c r="BA308" s="1341"/>
      <c r="BB308" s="1341"/>
      <c r="BC308" s="1340" t="str">
        <f t="shared" ref="BC308" si="29">IF(BC955=0,"--",BC955)</f>
        <v>--</v>
      </c>
      <c r="BD308" s="1341"/>
      <c r="BE308" s="1341"/>
      <c r="BF308" s="1341"/>
      <c r="BG308" s="1340" t="str">
        <f t="shared" ref="BG308" si="30">IF(BG955=0,"--",BG955)</f>
        <v>--</v>
      </c>
      <c r="BH308" s="1341"/>
      <c r="BI308" s="1341"/>
      <c r="BJ308" s="1341"/>
      <c r="BK308" s="1340" t="str">
        <f t="shared" ref="BK308" si="31">IF(BK955=0,"--",BK955)</f>
        <v>--</v>
      </c>
      <c r="BL308" s="1341"/>
      <c r="BM308" s="1341"/>
      <c r="BN308" s="1341"/>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Fabbisogno totale</v>
      </c>
      <c r="K309" s="563"/>
      <c r="L309" s="563"/>
      <c r="M309" s="563"/>
      <c r="N309" s="563"/>
      <c r="O309" s="563"/>
      <c r="P309" s="563"/>
      <c r="Q309" s="563"/>
      <c r="R309" s="563"/>
      <c r="S309" s="563"/>
      <c r="T309" s="563"/>
      <c r="U309" s="564" t="s">
        <v>176</v>
      </c>
      <c r="V309" s="563"/>
      <c r="W309" s="1315" t="str">
        <f>IF(SUM(W306:Z308)=0,"--",SUM(W306:Z308))</f>
        <v>--</v>
      </c>
      <c r="X309" s="1316"/>
      <c r="Y309" s="1316"/>
      <c r="Z309" s="1316"/>
      <c r="AA309" s="1315" t="str">
        <f t="shared" ref="AA309" si="32">IF(SUM(AA306:AD308)=0,"--",SUM(AA306:AD308))</f>
        <v>--</v>
      </c>
      <c r="AB309" s="1316"/>
      <c r="AC309" s="1316"/>
      <c r="AD309" s="1316"/>
      <c r="AE309" s="1315" t="str">
        <f t="shared" ref="AE309" si="33">IF(SUM(AE306:AH308)=0,"--",SUM(AE306:AH308))</f>
        <v>--</v>
      </c>
      <c r="AF309" s="1316"/>
      <c r="AG309" s="1316"/>
      <c r="AH309" s="1316"/>
      <c r="AI309" s="1315" t="str">
        <f t="shared" ref="AI309" si="34">IF(SUM(AI306:AL308)=0,"--",SUM(AI306:AL308))</f>
        <v>--</v>
      </c>
      <c r="AJ309" s="1316"/>
      <c r="AK309" s="1316"/>
      <c r="AL309" s="1316"/>
      <c r="AM309" s="1315" t="str">
        <f t="shared" ref="AM309" si="35">IF(SUM(AM306:AP308)=0,"--",SUM(AM306:AP308))</f>
        <v>--</v>
      </c>
      <c r="AN309" s="1316"/>
      <c r="AO309" s="1316"/>
      <c r="AP309" s="1316"/>
      <c r="AQ309" s="560"/>
      <c r="AR309" s="562"/>
      <c r="AS309" s="561"/>
      <c r="AT309" s="561"/>
      <c r="AU309" s="1315" t="str">
        <f>IF(SUM(AU306:AX308)=0,"--",SUM(AU306:AX308))</f>
        <v>--</v>
      </c>
      <c r="AV309" s="1316"/>
      <c r="AW309" s="1316"/>
      <c r="AX309" s="1316"/>
      <c r="AY309" s="1315" t="str">
        <f t="shared" ref="AY309" si="36">IF(SUM(AY306:BB308)=0,"--",SUM(AY306:BB308))</f>
        <v>--</v>
      </c>
      <c r="AZ309" s="1316"/>
      <c r="BA309" s="1316"/>
      <c r="BB309" s="1316"/>
      <c r="BC309" s="1315" t="str">
        <f t="shared" ref="BC309" si="37">IF(SUM(BC306:BF308)=0,"--",SUM(BC306:BF308))</f>
        <v>--</v>
      </c>
      <c r="BD309" s="1316"/>
      <c r="BE309" s="1316"/>
      <c r="BF309" s="1316"/>
      <c r="BG309" s="1315" t="str">
        <f t="shared" ref="BG309" si="38">IF(SUM(BG306:BJ308)=0,"--",SUM(BG306:BJ308))</f>
        <v>--</v>
      </c>
      <c r="BH309" s="1316"/>
      <c r="BI309" s="1316"/>
      <c r="BJ309" s="1316"/>
      <c r="BK309" s="1315" t="str">
        <f t="shared" ref="BK309" si="39">IF(SUM(BK306:BN308)=0,"--",SUM(BK306:BN308))</f>
        <v>--</v>
      </c>
      <c r="BL309" s="1316"/>
      <c r="BM309" s="1316"/>
      <c r="BN309" s="1316"/>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Mostrare i dettagli sul calcolo?</v>
      </c>
      <c r="I313" s="110"/>
      <c r="J313" s="110"/>
      <c r="K313" s="110"/>
      <c r="L313" s="110"/>
      <c r="M313" s="110"/>
      <c r="N313" s="110"/>
      <c r="O313" s="110"/>
      <c r="P313" s="110"/>
      <c r="Q313" s="110"/>
      <c r="R313" s="110"/>
      <c r="S313" s="110"/>
      <c r="T313" s="110"/>
      <c r="U313" s="110"/>
      <c r="V313" s="110"/>
      <c r="W313" s="110"/>
      <c r="X313" s="1481" t="s">
        <v>216</v>
      </c>
      <c r="Y313" s="1481"/>
      <c r="Z313" s="1482"/>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93" t="str">
        <f>X!C291</f>
        <v>in alto</v>
      </c>
      <c r="BG313" s="1493"/>
      <c r="BH313" s="1493"/>
      <c r="BI313" s="1493"/>
      <c r="BJ313" s="1493"/>
      <c r="BK313" s="1493"/>
      <c r="BL313" s="1493"/>
      <c r="BM313" s="1493"/>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Calcoli (dati del profilo)</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Profilo del fabbisogno di energia di raffreddamento</v>
      </c>
      <c r="X324" s="1301" t="str">
        <f>W135</f>
        <v>Primavera</v>
      </c>
      <c r="Y324" s="1301"/>
      <c r="Z324" s="1301"/>
      <c r="AB324" s="1301" t="str">
        <f>AA135</f>
        <v>Estate</v>
      </c>
      <c r="AC324" s="1301"/>
      <c r="AD324" s="1301"/>
      <c r="AF324" s="1301" t="str">
        <f>AE135</f>
        <v>Autunno</v>
      </c>
      <c r="AG324" s="1301"/>
      <c r="AH324" s="1301"/>
      <c r="AJ324" s="1301" t="str">
        <f>AI135</f>
        <v>Inverno</v>
      </c>
      <c r="AK324" s="1301"/>
      <c r="AL324" s="1301"/>
      <c r="AN324" s="1301" t="str">
        <f>AN135</f>
        <v>Anno</v>
      </c>
      <c r="AO324" s="1301"/>
      <c r="AP324" s="1301"/>
      <c r="AQ324" s="70"/>
      <c r="AR324" s="70"/>
      <c r="AV324" s="1301" t="str">
        <f>AV135</f>
        <v>Primavera</v>
      </c>
      <c r="AW324" s="1301"/>
      <c r="AX324" s="1301"/>
      <c r="AZ324" s="1301" t="str">
        <f>AZ135</f>
        <v>Estate</v>
      </c>
      <c r="BA324" s="1301"/>
      <c r="BB324" s="1301"/>
      <c r="BD324" s="1301" t="str">
        <f>BD135</f>
        <v>Autunno</v>
      </c>
      <c r="BE324" s="1301"/>
      <c r="BF324" s="1301"/>
      <c r="BH324" s="1301" t="str">
        <f>BH135</f>
        <v>Inverno</v>
      </c>
      <c r="BI324" s="1301"/>
      <c r="BJ324" s="1301"/>
      <c r="BL324" s="1301" t="str">
        <f>BL135</f>
        <v>Anno</v>
      </c>
      <c r="BM324" s="1301"/>
      <c r="BN324" s="1301"/>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Potenza di raffreddamento</v>
      </c>
      <c r="J326" s="74"/>
      <c r="K326" s="74"/>
      <c r="L326" s="74"/>
      <c r="M326" s="74"/>
      <c r="N326" s="74"/>
      <c r="O326" s="74"/>
      <c r="P326" s="74"/>
      <c r="Q326" s="74"/>
      <c r="R326" s="74"/>
      <c r="S326" s="74"/>
      <c r="T326" s="74"/>
      <c r="U326" s="95" t="s">
        <v>83</v>
      </c>
      <c r="V326" s="74"/>
      <c r="W326" s="74"/>
      <c r="X326" s="1304">
        <f>X173</f>
        <v>0</v>
      </c>
      <c r="Y326" s="1304"/>
      <c r="Z326" s="1304"/>
      <c r="AA326" s="138"/>
      <c r="AB326" s="1304">
        <f>AB173</f>
        <v>0</v>
      </c>
      <c r="AC326" s="1304"/>
      <c r="AD326" s="1304"/>
      <c r="AE326" s="139"/>
      <c r="AF326" s="1304">
        <f>AF173</f>
        <v>0</v>
      </c>
      <c r="AG326" s="1304"/>
      <c r="AH326" s="1304"/>
      <c r="AI326" s="139"/>
      <c r="AJ326" s="1304">
        <f>AJ173</f>
        <v>0</v>
      </c>
      <c r="AK326" s="1304"/>
      <c r="AL326" s="1304"/>
      <c r="AM326" s="126"/>
      <c r="AN326" s="1303"/>
      <c r="AO326" s="1303"/>
      <c r="AP326" s="1303"/>
      <c r="AQ326" s="152"/>
      <c r="AR326" s="152"/>
      <c r="AS326" s="106"/>
      <c r="AT326" s="106"/>
      <c r="AU326" s="106"/>
      <c r="AV326" s="1304">
        <f>AV173</f>
        <v>0</v>
      </c>
      <c r="AW326" s="1304"/>
      <c r="AX326" s="1304"/>
      <c r="AY326" s="138"/>
      <c r="AZ326" s="1304">
        <f>AZ173</f>
        <v>0</v>
      </c>
      <c r="BA326" s="1304"/>
      <c r="BB326" s="1304"/>
      <c r="BC326" s="139"/>
      <c r="BD326" s="1304">
        <f>BD173</f>
        <v>0</v>
      </c>
      <c r="BE326" s="1304"/>
      <c r="BF326" s="1304"/>
      <c r="BG326" s="139"/>
      <c r="BH326" s="1304">
        <f>BH173</f>
        <v>0</v>
      </c>
      <c r="BI326" s="1304"/>
      <c r="BJ326" s="1304"/>
      <c r="BK326" s="126"/>
      <c r="BL326" s="1303"/>
      <c r="BM326" s="1303"/>
      <c r="BN326" s="1303"/>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Ore d'esercizio a pieno regime al giorno</v>
      </c>
      <c r="J327" s="74"/>
      <c r="K327" s="74"/>
      <c r="L327" s="74"/>
      <c r="M327" s="74"/>
      <c r="N327" s="74"/>
      <c r="O327" s="74"/>
      <c r="P327" s="74"/>
      <c r="Q327" s="74"/>
      <c r="R327" s="74"/>
      <c r="S327" s="74"/>
      <c r="T327" s="74"/>
      <c r="U327" s="95" t="s">
        <v>116</v>
      </c>
      <c r="V327" s="74"/>
      <c r="W327" s="74"/>
      <c r="X327" s="1304">
        <f>X189</f>
        <v>0</v>
      </c>
      <c r="Y327" s="1304"/>
      <c r="Z327" s="1304"/>
      <c r="AA327" s="138"/>
      <c r="AB327" s="1304">
        <f>AB189</f>
        <v>0</v>
      </c>
      <c r="AC327" s="1304"/>
      <c r="AD327" s="1304"/>
      <c r="AE327" s="139"/>
      <c r="AF327" s="1304">
        <f>AF189</f>
        <v>0</v>
      </c>
      <c r="AG327" s="1304"/>
      <c r="AH327" s="1304"/>
      <c r="AI327" s="139"/>
      <c r="AJ327" s="1304">
        <f>AJ189</f>
        <v>0</v>
      </c>
      <c r="AK327" s="1304"/>
      <c r="AL327" s="1304"/>
      <c r="AM327" s="126"/>
      <c r="AN327" s="1303">
        <f>AVERAGE(X327:AL327)</f>
        <v>0</v>
      </c>
      <c r="AO327" s="1303"/>
      <c r="AP327" s="1303"/>
      <c r="AQ327" s="152"/>
      <c r="AR327" s="152"/>
      <c r="AS327" s="106"/>
      <c r="AT327" s="106"/>
      <c r="AU327" s="106"/>
      <c r="AV327" s="1304">
        <f>AV189</f>
        <v>0</v>
      </c>
      <c r="AW327" s="1304"/>
      <c r="AX327" s="1304"/>
      <c r="AY327" s="138"/>
      <c r="AZ327" s="1304">
        <f>AZ189</f>
        <v>0</v>
      </c>
      <c r="BA327" s="1304"/>
      <c r="BB327" s="1304"/>
      <c r="BC327" s="139"/>
      <c r="BD327" s="1304">
        <f>BD189</f>
        <v>0</v>
      </c>
      <c r="BE327" s="1304"/>
      <c r="BF327" s="1304"/>
      <c r="BG327" s="139"/>
      <c r="BH327" s="1304">
        <f>BH189</f>
        <v>0</v>
      </c>
      <c r="BI327" s="1304"/>
      <c r="BJ327" s="1304"/>
      <c r="BK327" s="126"/>
      <c r="BL327" s="1303">
        <f>AVERAGE(AV327:BJ327)</f>
        <v>0</v>
      </c>
      <c r="BM327" s="1303"/>
      <c r="BN327" s="1303"/>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Ore d'esercizio a pieno regime per trimestre</v>
      </c>
      <c r="J328" s="74"/>
      <c r="K328" s="74"/>
      <c r="L328" s="74"/>
      <c r="M328" s="74"/>
      <c r="N328" s="74"/>
      <c r="O328" s="74"/>
      <c r="P328" s="74"/>
      <c r="Q328" s="74"/>
      <c r="R328" s="74"/>
      <c r="S328" s="74"/>
      <c r="T328" s="74"/>
      <c r="U328" s="95" t="s">
        <v>116</v>
      </c>
      <c r="V328" s="74"/>
      <c r="W328" s="74"/>
      <c r="X328" s="1300">
        <f>X664*X327</f>
        <v>0</v>
      </c>
      <c r="Y328" s="1300"/>
      <c r="Z328" s="1300"/>
      <c r="AA328" s="175"/>
      <c r="AB328" s="1300">
        <f>AB664*AB327</f>
        <v>0</v>
      </c>
      <c r="AC328" s="1300"/>
      <c r="AD328" s="1300"/>
      <c r="AE328" s="176"/>
      <c r="AF328" s="1300">
        <f>AF664*AF327</f>
        <v>0</v>
      </c>
      <c r="AG328" s="1300"/>
      <c r="AH328" s="1300"/>
      <c r="AI328" s="176"/>
      <c r="AJ328" s="1300">
        <f>AJ664*AJ327</f>
        <v>0</v>
      </c>
      <c r="AK328" s="1300"/>
      <c r="AL328" s="1300"/>
      <c r="AM328" s="177"/>
      <c r="AN328" s="1307">
        <f>SUM(X328:AL328)</f>
        <v>0</v>
      </c>
      <c r="AO328" s="1307"/>
      <c r="AP328" s="1307"/>
      <c r="AQ328" s="322"/>
      <c r="AR328" s="322"/>
      <c r="AS328" s="106"/>
      <c r="AT328" s="106"/>
      <c r="AU328" s="106"/>
      <c r="AV328" s="1300">
        <f>AV664*AV327</f>
        <v>0</v>
      </c>
      <c r="AW328" s="1300"/>
      <c r="AX328" s="1300"/>
      <c r="AY328" s="175"/>
      <c r="AZ328" s="1300">
        <f>AZ664*AZ327</f>
        <v>0</v>
      </c>
      <c r="BA328" s="1300"/>
      <c r="BB328" s="1300"/>
      <c r="BC328" s="176"/>
      <c r="BD328" s="1300">
        <f>BD664*BD327</f>
        <v>0</v>
      </c>
      <c r="BE328" s="1300"/>
      <c r="BF328" s="1300"/>
      <c r="BG328" s="176"/>
      <c r="BH328" s="1300">
        <f>BH664*BH327</f>
        <v>0</v>
      </c>
      <c r="BI328" s="1300"/>
      <c r="BJ328" s="1300"/>
      <c r="BK328" s="177"/>
      <c r="BL328" s="1307">
        <f>SUM(AV328:BJ328)</f>
        <v>0</v>
      </c>
      <c r="BM328" s="1307"/>
      <c r="BN328" s="1307"/>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Fabbisogno di freddo</v>
      </c>
      <c r="J329" s="155"/>
      <c r="K329" s="155"/>
      <c r="L329" s="155"/>
      <c r="M329" s="155"/>
      <c r="N329" s="155"/>
      <c r="O329" s="155"/>
      <c r="P329" s="155"/>
      <c r="Q329" s="155"/>
      <c r="R329" s="155"/>
      <c r="S329" s="155"/>
      <c r="T329" s="155"/>
      <c r="U329" s="155" t="s">
        <v>176</v>
      </c>
      <c r="V329" s="155"/>
      <c r="W329" s="1312">
        <f>IF(X326*X328&gt;10000,ROUND(X326*X328,-3),ROUND(X326*X328,-2))</f>
        <v>0</v>
      </c>
      <c r="X329" s="1312"/>
      <c r="Y329" s="1312"/>
      <c r="Z329" s="1312"/>
      <c r="AA329" s="1312">
        <f>IF(AB326*AB328&gt;10000,ROUND(AB326*AB328,-3),ROUND(AB326*AB328,-2))</f>
        <v>0</v>
      </c>
      <c r="AB329" s="1312"/>
      <c r="AC329" s="1312"/>
      <c r="AD329" s="1312"/>
      <c r="AE329" s="1312">
        <f>IF(AF326*AF328&gt;10000,ROUND(AF326*AF328,-3),ROUND(AF326*AF328,-2))</f>
        <v>0</v>
      </c>
      <c r="AF329" s="1312"/>
      <c r="AG329" s="1312"/>
      <c r="AH329" s="1312"/>
      <c r="AI329" s="1312">
        <f>IF(AJ326*AJ328&gt;10000,ROUND(AJ326*AJ328,-3),ROUND(AJ326*AJ328,-2))</f>
        <v>0</v>
      </c>
      <c r="AJ329" s="1312"/>
      <c r="AK329" s="1312"/>
      <c r="AL329" s="1312"/>
      <c r="AM329" s="1312">
        <f>SUM(W329:AL329)</f>
        <v>0</v>
      </c>
      <c r="AN329" s="1312"/>
      <c r="AO329" s="1312"/>
      <c r="AP329" s="1312"/>
      <c r="AQ329" s="1115"/>
      <c r="AR329" s="322"/>
      <c r="AS329" s="137"/>
      <c r="AT329" s="137"/>
      <c r="AU329" s="1475">
        <f>IF(AV326*AV328&gt;10000,ROUND(AV326*AV328,-3),ROUND(AV326*AV328,-2))</f>
        <v>0</v>
      </c>
      <c r="AV329" s="1475"/>
      <c r="AW329" s="1475"/>
      <c r="AX329" s="1475"/>
      <c r="AY329" s="1475">
        <f>IF(AZ326*AZ328&gt;10000,ROUND(AZ326*AZ328,-3),ROUND(AZ326*AZ328,-2))</f>
        <v>0</v>
      </c>
      <c r="AZ329" s="1475"/>
      <c r="BA329" s="1475"/>
      <c r="BB329" s="1475"/>
      <c r="BC329" s="1475">
        <f>IF(BD326*BD328&gt;10000,ROUND(BD326*BD328,-3),ROUND(BD326*BD328,-2))</f>
        <v>0</v>
      </c>
      <c r="BD329" s="1475"/>
      <c r="BE329" s="1475"/>
      <c r="BF329" s="1475"/>
      <c r="BG329" s="1475">
        <f>IF(BH326*BH328&gt;10000,ROUND(BH326*BH328,-3),ROUND(BH326*BH328,-2))</f>
        <v>0</v>
      </c>
      <c r="BH329" s="1475"/>
      <c r="BI329" s="1475"/>
      <c r="BJ329" s="1475"/>
      <c r="BK329" s="1475">
        <f>SUM(AU329:BJ329)</f>
        <v>0</v>
      </c>
      <c r="BL329" s="1475"/>
      <c r="BM329" s="1475"/>
      <c r="BN329" s="1475"/>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Con free-cooling</v>
      </c>
      <c r="K330" s="115"/>
      <c r="L330" s="115"/>
      <c r="M330" s="115"/>
      <c r="N330" s="115"/>
      <c r="O330" s="115"/>
      <c r="P330" s="115"/>
      <c r="Q330" s="115"/>
      <c r="R330" s="115"/>
      <c r="S330" s="115"/>
      <c r="T330" s="115"/>
      <c r="U330" s="151" t="s">
        <v>176</v>
      </c>
      <c r="V330" s="115"/>
      <c r="W330" s="1306"/>
      <c r="X330" s="1306"/>
      <c r="Y330" s="1306"/>
      <c r="Z330" s="1306"/>
      <c r="AA330" s="1306"/>
      <c r="AB330" s="1306"/>
      <c r="AC330" s="1306"/>
      <c r="AD330" s="1306"/>
      <c r="AE330" s="1306"/>
      <c r="AF330" s="1306"/>
      <c r="AG330" s="1306"/>
      <c r="AH330" s="1306"/>
      <c r="AI330" s="1306"/>
      <c r="AJ330" s="1306"/>
      <c r="AK330" s="1306"/>
      <c r="AL330" s="1306"/>
      <c r="AM330" s="1307">
        <f>X884</f>
        <v>0</v>
      </c>
      <c r="AN330" s="1307"/>
      <c r="AO330" s="1307"/>
      <c r="AP330" s="1307"/>
      <c r="AQ330" s="322"/>
      <c r="AR330" s="322"/>
      <c r="AS330" s="137"/>
      <c r="AT330" s="137"/>
      <c r="AU330" s="1306"/>
      <c r="AV330" s="1306"/>
      <c r="AW330" s="1306"/>
      <c r="AX330" s="1306"/>
      <c r="AY330" s="1306"/>
      <c r="AZ330" s="1306"/>
      <c r="BA330" s="1306"/>
      <c r="BB330" s="1306"/>
      <c r="BC330" s="1306"/>
      <c r="BD330" s="1306"/>
      <c r="BE330" s="1306"/>
      <c r="BF330" s="1306"/>
      <c r="BG330" s="1306"/>
      <c r="BH330" s="1306"/>
      <c r="BI330" s="1306"/>
      <c r="BJ330" s="1306"/>
      <c r="BK330" s="1307">
        <f>AV884</f>
        <v>0</v>
      </c>
      <c r="BL330" s="1307"/>
      <c r="BM330" s="1307"/>
      <c r="BN330" s="1307"/>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con la macchina del freddo</v>
      </c>
      <c r="K331" s="115"/>
      <c r="L331" s="115"/>
      <c r="M331" s="115"/>
      <c r="N331" s="115"/>
      <c r="O331" s="115"/>
      <c r="P331" s="115"/>
      <c r="Q331" s="115"/>
      <c r="R331" s="115"/>
      <c r="S331" s="115"/>
      <c r="T331" s="115"/>
      <c r="U331" s="151" t="s">
        <v>176</v>
      </c>
      <c r="V331" s="115"/>
      <c r="W331" s="1306"/>
      <c r="X331" s="1306"/>
      <c r="Y331" s="1306"/>
      <c r="Z331" s="1306"/>
      <c r="AA331" s="1306"/>
      <c r="AB331" s="1306"/>
      <c r="AC331" s="1306"/>
      <c r="AD331" s="1306"/>
      <c r="AE331" s="1306"/>
      <c r="AF331" s="1306"/>
      <c r="AG331" s="1306"/>
      <c r="AH331" s="1306"/>
      <c r="AI331" s="1306"/>
      <c r="AJ331" s="1306"/>
      <c r="AK331" s="1306"/>
      <c r="AL331" s="1306"/>
      <c r="AM331" s="1302">
        <f>AM329-AM330</f>
        <v>0</v>
      </c>
      <c r="AN331" s="1302"/>
      <c r="AO331" s="1302"/>
      <c r="AP331" s="1302"/>
      <c r="AQ331" s="322"/>
      <c r="AR331" s="322"/>
      <c r="AS331" s="137"/>
      <c r="AT331" s="137"/>
      <c r="AU331" s="1306"/>
      <c r="AV331" s="1306"/>
      <c r="AW331" s="1306"/>
      <c r="AX331" s="1306"/>
      <c r="AY331" s="1306"/>
      <c r="AZ331" s="1306"/>
      <c r="BA331" s="1306"/>
      <c r="BB331" s="1306"/>
      <c r="BC331" s="1306"/>
      <c r="BD331" s="1306"/>
      <c r="BE331" s="1306"/>
      <c r="BF331" s="1306"/>
      <c r="BG331" s="1306"/>
      <c r="BH331" s="1306"/>
      <c r="BI331" s="1306"/>
      <c r="BJ331" s="1306"/>
      <c r="BK331" s="1483">
        <f>BK329-BK330</f>
        <v>0</v>
      </c>
      <c r="BL331" s="1483"/>
      <c r="BM331" s="1483"/>
      <c r="BN331" s="1483"/>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Consumo elettricità compressore</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Potenza di raff. media compressore</v>
      </c>
      <c r="J335" s="722"/>
      <c r="K335" s="722"/>
      <c r="L335" s="722"/>
      <c r="M335" s="722"/>
      <c r="N335" s="722"/>
      <c r="O335" s="722"/>
      <c r="P335" s="722"/>
      <c r="Q335" s="722"/>
      <c r="R335" s="722"/>
      <c r="S335" s="722"/>
      <c r="T335" s="722"/>
      <c r="U335" s="723" t="s">
        <v>83</v>
      </c>
      <c r="V335" s="722"/>
      <c r="W335" s="722"/>
      <c r="X335" s="1311">
        <f>X173</f>
        <v>0</v>
      </c>
      <c r="Y335" s="1311"/>
      <c r="Z335" s="1311"/>
      <c r="AA335" s="724"/>
      <c r="AB335" s="1311">
        <f>AB173</f>
        <v>0</v>
      </c>
      <c r="AC335" s="1311"/>
      <c r="AD335" s="1311"/>
      <c r="AE335" s="725"/>
      <c r="AF335" s="1311">
        <f>AF173</f>
        <v>0</v>
      </c>
      <c r="AG335" s="1311"/>
      <c r="AH335" s="1311"/>
      <c r="AI335" s="725"/>
      <c r="AJ335" s="1311">
        <f>AJ173</f>
        <v>0</v>
      </c>
      <c r="AK335" s="1311"/>
      <c r="AL335" s="1311"/>
      <c r="AM335" s="726"/>
      <c r="AN335" s="1309">
        <f>AVERAGE(X335:AL335)</f>
        <v>0</v>
      </c>
      <c r="AO335" s="1309"/>
      <c r="AP335" s="1309"/>
      <c r="AQ335" s="727"/>
      <c r="AR335" s="727"/>
      <c r="AS335" s="728"/>
      <c r="AT335" s="728"/>
      <c r="AU335" s="728"/>
      <c r="AV335" s="1311">
        <f>AV173</f>
        <v>0</v>
      </c>
      <c r="AW335" s="1311"/>
      <c r="AX335" s="1311"/>
      <c r="AY335" s="724"/>
      <c r="AZ335" s="1311">
        <f>AZ173</f>
        <v>0</v>
      </c>
      <c r="BA335" s="1311"/>
      <c r="BB335" s="1311"/>
      <c r="BC335" s="725"/>
      <c r="BD335" s="1311">
        <f>BD173</f>
        <v>0</v>
      </c>
      <c r="BE335" s="1311"/>
      <c r="BF335" s="1311"/>
      <c r="BG335" s="725"/>
      <c r="BH335" s="1311">
        <f>BH173</f>
        <v>0</v>
      </c>
      <c r="BI335" s="1311"/>
      <c r="BJ335" s="1311"/>
      <c r="BK335" s="726"/>
      <c r="BL335" s="1309">
        <f>AVERAGE(AV335:BJ335)</f>
        <v>0</v>
      </c>
      <c r="BM335" s="1309"/>
      <c r="BN335" s="1309"/>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Ore d'esercizio a pieno regime per trimestre</v>
      </c>
      <c r="J336" s="74"/>
      <c r="K336" s="74"/>
      <c r="L336" s="74"/>
      <c r="M336" s="74"/>
      <c r="N336" s="74"/>
      <c r="O336" s="74"/>
      <c r="P336" s="74"/>
      <c r="Q336" s="74"/>
      <c r="R336" s="74"/>
      <c r="S336" s="74"/>
      <c r="T336" s="74"/>
      <c r="U336" s="95" t="s">
        <v>116</v>
      </c>
      <c r="V336" s="74"/>
      <c r="W336" s="74"/>
      <c r="X336" s="1300">
        <f>X328</f>
        <v>0</v>
      </c>
      <c r="Y336" s="1300"/>
      <c r="Z336" s="1300"/>
      <c r="AA336" s="175"/>
      <c r="AB336" s="1300">
        <f>AB328</f>
        <v>0</v>
      </c>
      <c r="AC336" s="1300"/>
      <c r="AD336" s="1300"/>
      <c r="AE336" s="176"/>
      <c r="AF336" s="1300">
        <f>AF328</f>
        <v>0</v>
      </c>
      <c r="AG336" s="1300"/>
      <c r="AH336" s="1300"/>
      <c r="AI336" s="176"/>
      <c r="AJ336" s="1300">
        <f>AJ328</f>
        <v>0</v>
      </c>
      <c r="AK336" s="1300"/>
      <c r="AL336" s="1300"/>
      <c r="AM336" s="177"/>
      <c r="AN336" s="1307">
        <f>SUM(X336:AL336)</f>
        <v>0</v>
      </c>
      <c r="AO336" s="1307"/>
      <c r="AP336" s="1307"/>
      <c r="AQ336" s="322"/>
      <c r="AR336" s="322"/>
      <c r="AS336" s="177"/>
      <c r="AT336" s="177"/>
      <c r="AU336" s="177"/>
      <c r="AV336" s="1300">
        <f>AV328</f>
        <v>0</v>
      </c>
      <c r="AW336" s="1300"/>
      <c r="AX336" s="1300"/>
      <c r="AY336" s="175"/>
      <c r="AZ336" s="1300">
        <f>AZ328</f>
        <v>0</v>
      </c>
      <c r="BA336" s="1300"/>
      <c r="BB336" s="1300"/>
      <c r="BC336" s="176"/>
      <c r="BD336" s="1300">
        <f>BD328</f>
        <v>0</v>
      </c>
      <c r="BE336" s="1300"/>
      <c r="BF336" s="1300"/>
      <c r="BG336" s="176"/>
      <c r="BH336" s="1300">
        <f>BH328</f>
        <v>0</v>
      </c>
      <c r="BI336" s="1300"/>
      <c r="BJ336" s="1300"/>
      <c r="BK336" s="177"/>
      <c r="BL336" s="1307">
        <f>SUM(AV336:BJ336)</f>
        <v>0</v>
      </c>
      <c r="BM336" s="1307"/>
      <c r="BN336" s="1307"/>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Potenza elettrica assorbita</v>
      </c>
      <c r="J338" s="74"/>
      <c r="K338" s="74"/>
      <c r="L338" s="74"/>
      <c r="M338" s="74"/>
      <c r="N338" s="74"/>
      <c r="O338" s="74"/>
      <c r="P338" s="74"/>
      <c r="Q338" s="74"/>
      <c r="R338" s="74"/>
      <c r="S338" s="74"/>
      <c r="T338" s="74"/>
      <c r="U338" s="95" t="s">
        <v>83</v>
      </c>
      <c r="V338" s="74"/>
      <c r="W338" s="74"/>
      <c r="X338" s="1308">
        <f>X161</f>
        <v>0</v>
      </c>
      <c r="Y338" s="1308"/>
      <c r="Z338" s="1308"/>
      <c r="AA338" s="106"/>
      <c r="AB338" s="1308">
        <f>AB161</f>
        <v>0</v>
      </c>
      <c r="AC338" s="1308"/>
      <c r="AD338" s="1308"/>
      <c r="AE338"/>
      <c r="AF338" s="1308">
        <f>AF161</f>
        <v>0</v>
      </c>
      <c r="AG338" s="1308"/>
      <c r="AH338" s="1308"/>
      <c r="AI338"/>
      <c r="AJ338" s="1308">
        <f>AJ161</f>
        <v>0</v>
      </c>
      <c r="AK338" s="1308"/>
      <c r="AL338" s="1308"/>
      <c r="AM338" s="106"/>
      <c r="AN338" s="106"/>
      <c r="AO338" s="106"/>
      <c r="AP338" s="106"/>
      <c r="AQ338" s="106"/>
      <c r="AR338" s="106"/>
      <c r="AS338" s="106"/>
      <c r="AT338" s="106"/>
      <c r="AU338" s="106"/>
      <c r="AV338" s="1308">
        <f>AV161</f>
        <v>0</v>
      </c>
      <c r="AW338" s="1308"/>
      <c r="AX338" s="1308"/>
      <c r="AY338" s="106"/>
      <c r="AZ338" s="1308">
        <f>AZ161</f>
        <v>0</v>
      </c>
      <c r="BA338" s="1308"/>
      <c r="BB338" s="1308"/>
      <c r="BC338"/>
      <c r="BD338" s="1308">
        <f>BD161</f>
        <v>0</v>
      </c>
      <c r="BE338" s="1308"/>
      <c r="BF338" s="1308"/>
      <c r="BG338"/>
      <c r="BH338" s="1308">
        <f>BH161</f>
        <v>0</v>
      </c>
      <c r="BI338" s="1308"/>
      <c r="BJ338" s="1308"/>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Miglioramento con funz. carico parziale</v>
      </c>
      <c r="J339" s="74"/>
      <c r="K339" s="74"/>
      <c r="L339" s="74"/>
      <c r="M339" s="74"/>
      <c r="N339" s="74"/>
      <c r="O339" s="74"/>
      <c r="P339" s="74"/>
      <c r="Q339" s="74"/>
      <c r="R339" s="74"/>
      <c r="S339" s="74"/>
      <c r="T339" s="74"/>
      <c r="U339" s="95" t="s">
        <v>28</v>
      </c>
      <c r="V339" s="74"/>
      <c r="W339" s="74"/>
      <c r="X339" s="1290">
        <f>AN705</f>
        <v>0</v>
      </c>
      <c r="Y339" s="1290"/>
      <c r="Z339" s="1290"/>
      <c r="AA339" s="106"/>
      <c r="AB339" s="1290">
        <f>X339</f>
        <v>0</v>
      </c>
      <c r="AC339" s="1290"/>
      <c r="AD339" s="1290"/>
      <c r="AE339"/>
      <c r="AF339" s="1290">
        <f>AB339</f>
        <v>0</v>
      </c>
      <c r="AG339" s="1290"/>
      <c r="AH339" s="1290"/>
      <c r="AI339"/>
      <c r="AJ339" s="1290">
        <f>AF339</f>
        <v>0</v>
      </c>
      <c r="AK339" s="1290"/>
      <c r="AL339" s="1290"/>
      <c r="AM339" s="106"/>
      <c r="AN339" s="106"/>
      <c r="AO339" s="106"/>
      <c r="AP339" s="106"/>
      <c r="AQ339" s="106"/>
      <c r="AR339" s="106"/>
      <c r="AS339" s="106"/>
      <c r="AT339" s="106"/>
      <c r="AU339" s="106"/>
      <c r="AV339" s="1290">
        <f>BL705</f>
        <v>0</v>
      </c>
      <c r="AW339" s="1290"/>
      <c r="AX339" s="1290"/>
      <c r="AY339" s="106"/>
      <c r="AZ339" s="1290">
        <f>AV339</f>
        <v>0</v>
      </c>
      <c r="BA339" s="1290"/>
      <c r="BB339" s="1290"/>
      <c r="BC339"/>
      <c r="BD339" s="1290">
        <f>AZ339</f>
        <v>0</v>
      </c>
      <c r="BE339" s="1290"/>
      <c r="BF339" s="1290"/>
      <c r="BG339"/>
      <c r="BH339" s="1290">
        <f>BD339</f>
        <v>0</v>
      </c>
      <c r="BI339" s="1290"/>
      <c r="BJ339" s="1290"/>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Impatto comando</v>
      </c>
      <c r="J340" s="74"/>
      <c r="K340" s="74"/>
      <c r="L340" s="74"/>
      <c r="M340" s="74"/>
      <c r="N340" s="74"/>
      <c r="O340" s="74"/>
      <c r="P340" s="74"/>
      <c r="Q340" s="74"/>
      <c r="R340" s="74"/>
      <c r="S340" s="74"/>
      <c r="T340" s="74"/>
      <c r="U340" s="95" t="s">
        <v>28</v>
      </c>
      <c r="V340" s="74"/>
      <c r="W340" s="74"/>
      <c r="X340" s="1314">
        <f>AN685</f>
        <v>0.25</v>
      </c>
      <c r="Y340" s="1314"/>
      <c r="Z340" s="1314"/>
      <c r="AA340" s="106"/>
      <c r="AB340" s="1314">
        <f>X340</f>
        <v>0.25</v>
      </c>
      <c r="AC340" s="1314"/>
      <c r="AD340" s="1314"/>
      <c r="AE340"/>
      <c r="AF340" s="1314">
        <f>AB340</f>
        <v>0.25</v>
      </c>
      <c r="AG340" s="1314"/>
      <c r="AH340" s="1314"/>
      <c r="AI340"/>
      <c r="AJ340" s="1314">
        <f>AF340</f>
        <v>0.25</v>
      </c>
      <c r="AK340" s="1314"/>
      <c r="AL340" s="1314"/>
      <c r="AM340" s="106"/>
      <c r="AN340" s="106"/>
      <c r="AO340" s="106"/>
      <c r="AP340" s="106"/>
      <c r="AQ340" s="106"/>
      <c r="AR340" s="106"/>
      <c r="AS340" s="106"/>
      <c r="AT340" s="106"/>
      <c r="AU340" s="106"/>
      <c r="AV340" s="1314">
        <f>BL685</f>
        <v>0.25</v>
      </c>
      <c r="AW340" s="1314"/>
      <c r="AX340" s="1314"/>
      <c r="AY340" s="106"/>
      <c r="AZ340" s="1314">
        <f>AV340</f>
        <v>0.25</v>
      </c>
      <c r="BA340" s="1314"/>
      <c r="BB340" s="1314"/>
      <c r="BC340"/>
      <c r="BD340" s="1314">
        <f>AZ340</f>
        <v>0.25</v>
      </c>
      <c r="BE340" s="1314"/>
      <c r="BF340" s="1314"/>
      <c r="BG340"/>
      <c r="BH340" s="1314">
        <f>BD340</f>
        <v>0.25</v>
      </c>
      <c r="BI340" s="1314"/>
      <c r="BJ340" s="1314"/>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Potenza elettrica assorbita (effettiva)</v>
      </c>
      <c r="J341" s="74"/>
      <c r="K341" s="74"/>
      <c r="L341" s="74"/>
      <c r="M341" s="74"/>
      <c r="N341" s="74"/>
      <c r="O341" s="74"/>
      <c r="P341" s="74"/>
      <c r="Q341" s="74"/>
      <c r="R341" s="74"/>
      <c r="S341" s="74"/>
      <c r="T341" s="74"/>
      <c r="U341" s="95" t="s">
        <v>83</v>
      </c>
      <c r="V341" s="74"/>
      <c r="W341" s="74"/>
      <c r="X341" s="1308">
        <f>X338/(1+X339)*(1+X340)</f>
        <v>0</v>
      </c>
      <c r="Y341" s="1308"/>
      <c r="Z341" s="1308"/>
      <c r="AA341" s="106"/>
      <c r="AB341" s="1308">
        <f>AB338/(1+AB339)*(1+AB340)</f>
        <v>0</v>
      </c>
      <c r="AC341" s="1308"/>
      <c r="AD341" s="1308"/>
      <c r="AE341"/>
      <c r="AF341" s="1308">
        <f>AF338/(1+AF339)*(1+AF340)</f>
        <v>0</v>
      </c>
      <c r="AG341" s="1308"/>
      <c r="AH341" s="1308"/>
      <c r="AI341"/>
      <c r="AJ341" s="1308">
        <f>AJ338/(1+AJ339)*(1+AJ340)</f>
        <v>0</v>
      </c>
      <c r="AK341" s="1308"/>
      <c r="AL341" s="1308"/>
      <c r="AM341" s="106"/>
      <c r="AN341" s="106"/>
      <c r="AO341" s="106"/>
      <c r="AP341" s="106"/>
      <c r="AQ341" s="106"/>
      <c r="AR341" s="106"/>
      <c r="AS341" s="106"/>
      <c r="AT341" s="106"/>
      <c r="AU341" s="106"/>
      <c r="AV341" s="1308">
        <f>AV338/(1+AV339)*(1+AV340)</f>
        <v>0</v>
      </c>
      <c r="AW341" s="1308"/>
      <c r="AX341" s="1308"/>
      <c r="AY341" s="106"/>
      <c r="AZ341" s="1308">
        <f>AZ338/(1+AZ339)*(1+AZ340)</f>
        <v>0</v>
      </c>
      <c r="BA341" s="1308"/>
      <c r="BB341" s="1308"/>
      <c r="BC341"/>
      <c r="BD341" s="1308">
        <f>BD338/(1+BD339)*(1+BD340)</f>
        <v>0</v>
      </c>
      <c r="BE341" s="1308"/>
      <c r="BF341" s="1308"/>
      <c r="BG341"/>
      <c r="BH341" s="1308">
        <f>BH338/(1+BH339)*(1+BH340)</f>
        <v>0</v>
      </c>
      <c r="BI341" s="1308"/>
      <c r="BJ341" s="1308"/>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Consumo di corrente del compressore</v>
      </c>
      <c r="J342" s="155"/>
      <c r="K342" s="155"/>
      <c r="L342" s="155"/>
      <c r="M342" s="155"/>
      <c r="N342" s="155"/>
      <c r="O342" s="155"/>
      <c r="P342" s="155"/>
      <c r="Q342" s="155"/>
      <c r="R342" s="155"/>
      <c r="S342" s="155"/>
      <c r="T342" s="155"/>
      <c r="U342" s="155" t="s">
        <v>20</v>
      </c>
      <c r="V342" s="155"/>
      <c r="W342" s="1312">
        <f>IF(X336*X341&gt;10000,ROUND(X336*X341,-3),ROUND(X336*X341,-2))</f>
        <v>0</v>
      </c>
      <c r="X342" s="1312"/>
      <c r="Y342" s="1312"/>
      <c r="Z342" s="1312"/>
      <c r="AA342" s="1312">
        <f>IF(AB336*AB341&gt;10000,ROUND(AB336*AB341,-3),ROUND(AB336*AB341,-2))</f>
        <v>0</v>
      </c>
      <c r="AB342" s="1312"/>
      <c r="AC342" s="1312"/>
      <c r="AD342" s="1312"/>
      <c r="AE342" s="1312">
        <f>IF(AF336*AF341&gt;10000,ROUND(AF336*AF341,-3),ROUND(AF336*AF341,-2))</f>
        <v>0</v>
      </c>
      <c r="AF342" s="1312"/>
      <c r="AG342" s="1312"/>
      <c r="AH342" s="1312"/>
      <c r="AI342" s="1312">
        <f>IF(AJ336*AJ341&gt;10000,ROUND(AJ336*AJ341,-3),ROUND(AJ336*AJ341,-2))</f>
        <v>0</v>
      </c>
      <c r="AJ342" s="1312"/>
      <c r="AK342" s="1312"/>
      <c r="AL342" s="1312"/>
      <c r="AM342" s="1302">
        <f>SUM(W342:AL342)</f>
        <v>0</v>
      </c>
      <c r="AN342" s="1302"/>
      <c r="AO342" s="1302"/>
      <c r="AP342" s="1302"/>
      <c r="AQ342" s="322"/>
      <c r="AR342" s="322"/>
      <c r="AS342" s="137"/>
      <c r="AT342" s="137"/>
      <c r="AU342" s="1475">
        <f>IF(AV336*AV341&gt;10000,ROUND(AV336*AV341,-3),ROUND(AV336*AV341,-2))</f>
        <v>0</v>
      </c>
      <c r="AV342" s="1475"/>
      <c r="AW342" s="1475"/>
      <c r="AX342" s="1475"/>
      <c r="AY342" s="1475">
        <f>IF(AZ336*AZ341&gt;10000,ROUND(AZ336*AZ341,-3),ROUND(AZ336*AZ341,-2))</f>
        <v>0</v>
      </c>
      <c r="AZ342" s="1475"/>
      <c r="BA342" s="1475"/>
      <c r="BB342" s="1475"/>
      <c r="BC342" s="1475">
        <f>IF(BD336*BD341&gt;10000,ROUND(BD336*BD341,-3),ROUND(BD336*BD341,-2))</f>
        <v>0</v>
      </c>
      <c r="BD342" s="1475"/>
      <c r="BE342" s="1475"/>
      <c r="BF342" s="1475"/>
      <c r="BG342" s="1475">
        <f>IF(BH336*BH341&gt;10000,ROUND(BH336*BH341,-3),ROUND(BH336*BH341,-2))</f>
        <v>0</v>
      </c>
      <c r="BH342" s="1475"/>
      <c r="BI342" s="1475"/>
      <c r="BJ342" s="1475"/>
      <c r="BK342" s="1483">
        <f>SUM(AU342:BJ342)</f>
        <v>0</v>
      </c>
      <c r="BL342" s="1483"/>
      <c r="BM342" s="1483"/>
      <c r="BN342" s="1483"/>
      <c r="BO342" s="121"/>
    </row>
    <row r="343" spans="5:124" s="124" customFormat="1" ht="17" customHeight="1" outlineLevel="1" x14ac:dyDescent="0.15">
      <c r="E343" s="216"/>
      <c r="G343" s="123"/>
      <c r="H343" s="361"/>
      <c r="I343" s="395"/>
      <c r="J343" s="499" t="str">
        <f>X!C347</f>
        <v>Riduzione grazie al free-cooling</v>
      </c>
      <c r="K343" s="115"/>
      <c r="L343" s="115"/>
      <c r="M343" s="115"/>
      <c r="N343" s="115"/>
      <c r="O343" s="115"/>
      <c r="P343" s="115"/>
      <c r="Q343" s="115"/>
      <c r="R343" s="115"/>
      <c r="S343" s="115"/>
      <c r="T343" s="115"/>
      <c r="U343" s="498" t="s">
        <v>20</v>
      </c>
      <c r="V343" s="499"/>
      <c r="W343" s="1300"/>
      <c r="X343" s="1300"/>
      <c r="Y343" s="1300"/>
      <c r="Z343" s="1300"/>
      <c r="AA343" s="1300"/>
      <c r="AB343" s="1300"/>
      <c r="AC343" s="1300"/>
      <c r="AD343" s="1300"/>
      <c r="AE343" s="1300"/>
      <c r="AF343" s="1300"/>
      <c r="AG343" s="1300"/>
      <c r="AH343" s="1300"/>
      <c r="AI343" s="1300"/>
      <c r="AJ343" s="1300"/>
      <c r="AK343" s="1300"/>
      <c r="AL343" s="1300"/>
      <c r="AM343" s="1345" t="str">
        <f>IF(X878=0,"--",-X878)</f>
        <v>--</v>
      </c>
      <c r="AN343" s="1345"/>
      <c r="AO343" s="1345"/>
      <c r="AP343" s="1345"/>
      <c r="AQ343" s="322"/>
      <c r="AR343" s="322"/>
      <c r="AS343" s="137"/>
      <c r="AT343" s="137"/>
      <c r="AU343" s="1306"/>
      <c r="AV343" s="1306"/>
      <c r="AW343" s="1306"/>
      <c r="AX343" s="1306"/>
      <c r="AY343" s="1306"/>
      <c r="AZ343" s="1306"/>
      <c r="BA343" s="1306"/>
      <c r="BB343" s="1306"/>
      <c r="BC343" s="1306"/>
      <c r="BD343" s="1306"/>
      <c r="BE343" s="1306"/>
      <c r="BF343" s="1306"/>
      <c r="BG343" s="1306"/>
      <c r="BH343" s="1306"/>
      <c r="BI343" s="1306"/>
      <c r="BJ343" s="1306"/>
      <c r="BK343" s="1345" t="str">
        <f>IF(AV878=0,"--",-AV878)</f>
        <v>--</v>
      </c>
      <c r="BL343" s="1345"/>
      <c r="BM343" s="1345"/>
      <c r="BN343" s="1345"/>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Maggior consumo recupero del calore</v>
      </c>
      <c r="K344" s="115"/>
      <c r="L344" s="115"/>
      <c r="M344" s="115"/>
      <c r="N344" s="115"/>
      <c r="O344" s="115"/>
      <c r="P344" s="115"/>
      <c r="Q344" s="115"/>
      <c r="R344" s="115"/>
      <c r="S344" s="115"/>
      <c r="T344" s="115"/>
      <c r="U344" s="498" t="s">
        <v>20</v>
      </c>
      <c r="V344" s="499"/>
      <c r="W344" s="1402"/>
      <c r="X344" s="1402"/>
      <c r="Y344" s="1402"/>
      <c r="Z344" s="1402"/>
      <c r="AA344" s="1402"/>
      <c r="AB344" s="1402"/>
      <c r="AC344" s="1402"/>
      <c r="AD344" s="1402"/>
      <c r="AE344" s="1402"/>
      <c r="AF344" s="1402"/>
      <c r="AG344" s="1402"/>
      <c r="AH344" s="1402"/>
      <c r="AI344" s="1402"/>
      <c r="AJ344" s="1402"/>
      <c r="AK344" s="1402"/>
      <c r="AL344" s="1402"/>
      <c r="AM344" s="1300" t="str">
        <f>IF(AM980=0,"--",AM980)</f>
        <v>--</v>
      </c>
      <c r="AN344" s="1300"/>
      <c r="AO344" s="1300"/>
      <c r="AP344" s="1300"/>
      <c r="AQ344" s="322"/>
      <c r="AR344" s="322"/>
      <c r="AS344" s="137"/>
      <c r="AT344" s="137"/>
      <c r="AU344" s="1319"/>
      <c r="AV344" s="1319"/>
      <c r="AW344" s="1319"/>
      <c r="AX344" s="1319"/>
      <c r="AY344" s="1319"/>
      <c r="AZ344" s="1319"/>
      <c r="BA344" s="1319"/>
      <c r="BB344" s="1319"/>
      <c r="BC344" s="1319"/>
      <c r="BD344" s="1319"/>
      <c r="BE344" s="1319"/>
      <c r="BF344" s="1319"/>
      <c r="BG344" s="1319"/>
      <c r="BH344" s="1319"/>
      <c r="BI344" s="1319"/>
      <c r="BJ344" s="1319"/>
      <c r="BK344" s="1300" t="str">
        <f>IF(BK980=0,"--",BK980)</f>
        <v>--</v>
      </c>
      <c r="BL344" s="1300"/>
      <c r="BM344" s="1300"/>
      <c r="BN344" s="1300"/>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Consumo di corrente del compressore</v>
      </c>
      <c r="K345" s="115"/>
      <c r="L345" s="115"/>
      <c r="M345" s="115"/>
      <c r="N345" s="115"/>
      <c r="O345" s="115"/>
      <c r="P345" s="115"/>
      <c r="Q345" s="115"/>
      <c r="R345" s="115"/>
      <c r="S345" s="115"/>
      <c r="T345" s="115"/>
      <c r="U345" s="151" t="s">
        <v>20</v>
      </c>
      <c r="V345" s="115"/>
      <c r="W345" s="1306"/>
      <c r="X345" s="1306"/>
      <c r="Y345" s="1306"/>
      <c r="Z345" s="1306"/>
      <c r="AA345" s="1306"/>
      <c r="AB345" s="1306"/>
      <c r="AC345" s="1306"/>
      <c r="AD345" s="1306"/>
      <c r="AE345" s="1306"/>
      <c r="AF345" s="1306"/>
      <c r="AG345" s="1306"/>
      <c r="AH345" s="1306"/>
      <c r="AI345" s="1306"/>
      <c r="AJ345" s="1306"/>
      <c r="AK345" s="1306"/>
      <c r="AL345" s="1306"/>
      <c r="AM345" s="1302">
        <f>SUM(AM342:AP344)</f>
        <v>0</v>
      </c>
      <c r="AN345" s="1302"/>
      <c r="AO345" s="1302"/>
      <c r="AP345" s="1302"/>
      <c r="AQ345" s="322"/>
      <c r="AR345" s="322"/>
      <c r="AS345" s="137"/>
      <c r="AT345" s="137"/>
      <c r="AU345" s="1306"/>
      <c r="AV345" s="1306"/>
      <c r="AW345" s="1306"/>
      <c r="AX345" s="1306"/>
      <c r="AY345" s="1306"/>
      <c r="AZ345" s="1306"/>
      <c r="BA345" s="1306"/>
      <c r="BB345" s="1306"/>
      <c r="BC345" s="1306"/>
      <c r="BD345" s="1306"/>
      <c r="BE345" s="1306"/>
      <c r="BF345" s="1306"/>
      <c r="BG345" s="1306"/>
      <c r="BH345" s="1306"/>
      <c r="BI345" s="1306"/>
      <c r="BJ345" s="1306"/>
      <c r="BK345" s="1302">
        <f>SUM(BK342:BN344)</f>
        <v>0</v>
      </c>
      <c r="BL345" s="1302"/>
      <c r="BM345" s="1302"/>
      <c r="BN345" s="1302"/>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Consumo elettricità aggregati ausiliari «parte calda»</v>
      </c>
      <c r="X348" s="1301" t="s">
        <v>127</v>
      </c>
      <c r="Y348" s="1301"/>
      <c r="Z348" s="1301"/>
      <c r="AB348" s="1339" t="str">
        <f>X!$C$205</f>
        <v>Regolazione</v>
      </c>
      <c r="AC348" s="1301"/>
      <c r="AD348" s="1301"/>
      <c r="AF348" s="1339" t="str">
        <f>X!$C$192</f>
        <v>Pe (corr.)</v>
      </c>
      <c r="AG348" s="1301"/>
      <c r="AH348" s="1301"/>
      <c r="AJ348" s="1472" t="str">
        <f>X!$C$163</f>
        <v>Durata</v>
      </c>
      <c r="AK348" s="1473"/>
      <c r="AL348" s="1473"/>
      <c r="AN348" s="1339" t="s">
        <v>1278</v>
      </c>
      <c r="AO348" s="1301"/>
      <c r="AP348" s="1301"/>
      <c r="AV348" s="1301" t="s">
        <v>127</v>
      </c>
      <c r="AW348" s="1301"/>
      <c r="AX348" s="1301"/>
      <c r="AZ348" s="1339" t="str">
        <f>X!$C$205</f>
        <v>Regolazione</v>
      </c>
      <c r="BA348" s="1301"/>
      <c r="BB348" s="1301"/>
      <c r="BD348" s="1339" t="str">
        <f>X!$C$192</f>
        <v>Pe (corr.)</v>
      </c>
      <c r="BE348" s="1301"/>
      <c r="BF348" s="1301"/>
      <c r="BH348" s="1472" t="str">
        <f>X!$C$163</f>
        <v>Durata</v>
      </c>
      <c r="BI348" s="1473"/>
      <c r="BJ348" s="1473"/>
      <c r="BL348" s="1339" t="s">
        <v>1278</v>
      </c>
      <c r="BM348" s="1301"/>
      <c r="BN348" s="1301"/>
      <c r="BO348" s="121"/>
      <c r="BU348" s="201"/>
      <c r="BV348" s="201"/>
      <c r="BW348" s="201"/>
      <c r="BX348" s="201"/>
      <c r="BY348" s="201"/>
      <c r="BZ348" s="201"/>
      <c r="CA348" s="201"/>
      <c r="CB348" s="201"/>
      <c r="CC348" s="201"/>
    </row>
    <row r="349" spans="5:124" outlineLevel="1" x14ac:dyDescent="0.15">
      <c r="G349" s="118"/>
      <c r="H349" s="364"/>
      <c r="I349" s="399"/>
      <c r="X349" s="1333" t="s">
        <v>83</v>
      </c>
      <c r="Y349" s="1333"/>
      <c r="Z349" s="1333"/>
      <c r="AA349" s="106"/>
      <c r="AB349" s="1334" t="s">
        <v>28</v>
      </c>
      <c r="AC349" s="1335"/>
      <c r="AD349" s="1335"/>
      <c r="AE349" s="70"/>
      <c r="AF349" s="1333" t="s">
        <v>83</v>
      </c>
      <c r="AG349" s="1333"/>
      <c r="AH349" s="1333"/>
      <c r="AJ349" s="1300" t="s">
        <v>129</v>
      </c>
      <c r="AK349" s="1301"/>
      <c r="AL349" s="1301"/>
      <c r="AN349" s="1300" t="s">
        <v>176</v>
      </c>
      <c r="AO349" s="1301"/>
      <c r="AP349" s="1301"/>
      <c r="AT349" s="74"/>
      <c r="AU349" s="74"/>
      <c r="AV349" s="1333" t="s">
        <v>83</v>
      </c>
      <c r="AW349" s="1333"/>
      <c r="AX349" s="1333"/>
      <c r="AY349" s="106"/>
      <c r="AZ349" s="1334" t="s">
        <v>28</v>
      </c>
      <c r="BA349" s="1335"/>
      <c r="BB349" s="1335"/>
      <c r="BC349" s="70"/>
      <c r="BD349" s="1333" t="s">
        <v>83</v>
      </c>
      <c r="BE349" s="1333"/>
      <c r="BF349" s="1333"/>
      <c r="BH349" s="1300" t="s">
        <v>129</v>
      </c>
      <c r="BI349" s="1301"/>
      <c r="BJ349" s="1301"/>
      <c r="BL349" s="1300" t="s">
        <v>176</v>
      </c>
      <c r="BM349" s="1301"/>
      <c r="BN349" s="1301"/>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Pompe circolazione caldo</v>
      </c>
      <c r="J351" s="74"/>
      <c r="K351" s="74"/>
      <c r="L351" s="74"/>
      <c r="M351" s="74"/>
      <c r="N351" s="74"/>
      <c r="O351" s="74"/>
      <c r="P351" s="74"/>
      <c r="Q351" s="74"/>
      <c r="R351" s="74"/>
      <c r="S351" s="74"/>
      <c r="T351" s="95"/>
      <c r="U351" s="95"/>
      <c r="V351" s="95"/>
      <c r="W351" s="95"/>
      <c r="X351" s="1333">
        <f>X79</f>
        <v>0</v>
      </c>
      <c r="Y351" s="1333"/>
      <c r="Z351" s="1333"/>
      <c r="AA351" s="106"/>
      <c r="AB351" s="1334">
        <f>-AP511</f>
        <v>0</v>
      </c>
      <c r="AC351" s="1335"/>
      <c r="AD351" s="1335"/>
      <c r="AE351" s="70"/>
      <c r="AF351" s="1333">
        <f>X351*(1+AB351)</f>
        <v>0</v>
      </c>
      <c r="AG351" s="1333"/>
      <c r="AH351" s="1333"/>
      <c r="AI351"/>
      <c r="AJ351" s="1300">
        <f>IF(AF351=0,0,ROUND(X367+AF367+AN367,-1))</f>
        <v>0</v>
      </c>
      <c r="AK351" s="1301"/>
      <c r="AL351" s="1301"/>
      <c r="AM351"/>
      <c r="AN351" s="1300">
        <f>ROUND(AF351*AJ351,-2)</f>
        <v>0</v>
      </c>
      <c r="AO351" s="1301"/>
      <c r="AP351" s="1301"/>
      <c r="AQ351"/>
      <c r="AR351"/>
      <c r="AS351"/>
      <c r="AT351" s="74"/>
      <c r="AU351" s="74"/>
      <c r="AV351" s="1333">
        <f>AV79</f>
        <v>0</v>
      </c>
      <c r="AW351" s="1333"/>
      <c r="AX351" s="1333"/>
      <c r="AY351" s="106"/>
      <c r="AZ351" s="1334">
        <f>-BN511</f>
        <v>0</v>
      </c>
      <c r="BA351" s="1335"/>
      <c r="BB351" s="1335"/>
      <c r="BC351" s="70"/>
      <c r="BD351" s="1333">
        <f>AV351*(1+AZ351)</f>
        <v>0</v>
      </c>
      <c r="BE351" s="1333"/>
      <c r="BF351" s="1333"/>
      <c r="BG351"/>
      <c r="BH351" s="1300">
        <f>IF(BD351=0,0,ROUND(AV367+BD367+BL367,-1))</f>
        <v>0</v>
      </c>
      <c r="BI351" s="1301"/>
      <c r="BJ351" s="1301"/>
      <c r="BK351"/>
      <c r="BL351" s="1300">
        <f>ROUND(BD351*BH351,-2)</f>
        <v>0</v>
      </c>
      <c r="BM351" s="1301"/>
      <c r="BN351" s="1301"/>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Pompe nebulizzazione</v>
      </c>
      <c r="J352" s="74"/>
      <c r="K352" s="74"/>
      <c r="L352" s="74"/>
      <c r="M352" s="74"/>
      <c r="N352" s="74"/>
      <c r="O352" s="74"/>
      <c r="P352" s="74"/>
      <c r="Q352" s="74"/>
      <c r="R352" s="74"/>
      <c r="S352" s="74"/>
      <c r="T352" s="74"/>
      <c r="U352" s="95"/>
      <c r="V352" s="74"/>
      <c r="W352" s="74"/>
      <c r="X352" s="1333">
        <f>X81</f>
        <v>0</v>
      </c>
      <c r="Y352" s="1333"/>
      <c r="Z352" s="1333"/>
      <c r="AA352" s="106"/>
      <c r="AB352" s="1334">
        <f>-AP521</f>
        <v>0</v>
      </c>
      <c r="AC352" s="1335"/>
      <c r="AD352" s="1335"/>
      <c r="AE352" s="70"/>
      <c r="AF352" s="1333">
        <f>X352*(1+AB352)</f>
        <v>0</v>
      </c>
      <c r="AG352" s="1333"/>
      <c r="AH352" s="1333"/>
      <c r="AI352"/>
      <c r="AJ352" s="1300">
        <f>IF(AF352=0,0,ROUND(X368+AF368+AN368,-1))</f>
        <v>0</v>
      </c>
      <c r="AK352" s="1301"/>
      <c r="AL352" s="1301"/>
      <c r="AM352"/>
      <c r="AN352" s="1300">
        <f>ROUND(AF352*AJ352,-2)</f>
        <v>0</v>
      </c>
      <c r="AO352" s="1301"/>
      <c r="AP352" s="1301"/>
      <c r="AQ352"/>
      <c r="AR352"/>
      <c r="AS352"/>
      <c r="AT352" s="74"/>
      <c r="AU352" s="74"/>
      <c r="AV352" s="1333">
        <f>AV81</f>
        <v>0</v>
      </c>
      <c r="AW352" s="1333"/>
      <c r="AX352" s="1333"/>
      <c r="AY352" s="106"/>
      <c r="AZ352" s="1334">
        <f>-BN521</f>
        <v>0</v>
      </c>
      <c r="BA352" s="1335"/>
      <c r="BB352" s="1335"/>
      <c r="BC352" s="70"/>
      <c r="BD352" s="1333">
        <f>AV352*(1+AZ352)</f>
        <v>0</v>
      </c>
      <c r="BE352" s="1333"/>
      <c r="BF352" s="1333"/>
      <c r="BG352"/>
      <c r="BH352" s="1300">
        <f>IF(BD352=0,0,ROUND(AV368+BD368+BL368,-1))</f>
        <v>0</v>
      </c>
      <c r="BI352" s="1301"/>
      <c r="BJ352" s="1301"/>
      <c r="BK352"/>
      <c r="BL352" s="1300">
        <f>ROUND(BD352*BH352,-2)</f>
        <v>0</v>
      </c>
      <c r="BM352" s="1301"/>
      <c r="BN352" s="1301"/>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Ventilatori raffreddato /condensatore</v>
      </c>
      <c r="J353" s="74"/>
      <c r="K353" s="74"/>
      <c r="L353" s="74"/>
      <c r="M353" s="74"/>
      <c r="N353" s="74"/>
      <c r="O353" s="74"/>
      <c r="P353" s="74"/>
      <c r="Q353" s="74"/>
      <c r="R353" s="74"/>
      <c r="S353" s="74"/>
      <c r="T353" s="74"/>
      <c r="U353" s="95"/>
      <c r="V353" s="74"/>
      <c r="W353" s="74"/>
      <c r="X353" s="1333">
        <f>X83</f>
        <v>0</v>
      </c>
      <c r="Y353" s="1333"/>
      <c r="Z353" s="1333"/>
      <c r="AA353" s="106"/>
      <c r="AB353" s="1334">
        <f>-AP531</f>
        <v>0</v>
      </c>
      <c r="AC353" s="1335"/>
      <c r="AD353" s="1335"/>
      <c r="AE353" s="70"/>
      <c r="AF353" s="1333">
        <f>X353*(1+AB353)</f>
        <v>0</v>
      </c>
      <c r="AG353" s="1333"/>
      <c r="AH353" s="1333"/>
      <c r="AI353"/>
      <c r="AJ353" s="1300">
        <f>IF(AF353=0,0,ROUND(X369+AF369+AN369,-1))</f>
        <v>0</v>
      </c>
      <c r="AK353" s="1301"/>
      <c r="AL353" s="1301"/>
      <c r="AM353"/>
      <c r="AN353" s="1300">
        <f>ROUND(AF353*AJ353,-2)</f>
        <v>0</v>
      </c>
      <c r="AO353" s="1301"/>
      <c r="AP353" s="1301"/>
      <c r="AQ353"/>
      <c r="AR353"/>
      <c r="AS353"/>
      <c r="AT353" s="74"/>
      <c r="AU353" s="74"/>
      <c r="AV353" s="1333">
        <f>AV83</f>
        <v>0</v>
      </c>
      <c r="AW353" s="1333"/>
      <c r="AX353" s="1333"/>
      <c r="AY353" s="106"/>
      <c r="AZ353" s="1334">
        <f>-BN531</f>
        <v>0</v>
      </c>
      <c r="BA353" s="1335"/>
      <c r="BB353" s="1335"/>
      <c r="BC353" s="70"/>
      <c r="BD353" s="1333">
        <f>AV353*(1+AZ353)</f>
        <v>0</v>
      </c>
      <c r="BE353" s="1333"/>
      <c r="BF353" s="1333"/>
      <c r="BG353"/>
      <c r="BH353" s="1300">
        <f>IF(BD353=0,0,ROUND(AV369+BD369+BL369,-1))</f>
        <v>0</v>
      </c>
      <c r="BI353" s="1301"/>
      <c r="BJ353" s="1301"/>
      <c r="BK353"/>
      <c r="BL353" s="1300">
        <f>ROUND(BD353*BH353,-2)</f>
        <v>0</v>
      </c>
      <c r="BM353" s="1301"/>
      <c r="BN353" s="1301"/>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333">
        <f>X85</f>
        <v>0</v>
      </c>
      <c r="Y354" s="1333"/>
      <c r="Z354" s="1333"/>
      <c r="AA354" s="106"/>
      <c r="AB354" s="1334">
        <f>-AP541</f>
        <v>0</v>
      </c>
      <c r="AC354" s="1335"/>
      <c r="AD354" s="1335"/>
      <c r="AE354" s="70"/>
      <c r="AF354" s="1333">
        <f>X354*(1+AB354)</f>
        <v>0</v>
      </c>
      <c r="AG354" s="1333"/>
      <c r="AH354" s="1333"/>
      <c r="AI354"/>
      <c r="AJ354" s="1300">
        <f>IF(AF354=0,0,ROUND(X370+AF370+AN370,-1))</f>
        <v>0</v>
      </c>
      <c r="AK354" s="1301"/>
      <c r="AL354" s="1301"/>
      <c r="AM354"/>
      <c r="AN354" s="1300">
        <f>ROUND(AF354*AJ354,-2)</f>
        <v>0</v>
      </c>
      <c r="AO354" s="1301"/>
      <c r="AP354" s="1301"/>
      <c r="AQ354"/>
      <c r="AR354"/>
      <c r="AS354"/>
      <c r="AT354" s="74"/>
      <c r="AU354" s="74"/>
      <c r="AV354" s="1333">
        <f>AV85</f>
        <v>0</v>
      </c>
      <c r="AW354" s="1333"/>
      <c r="AX354" s="1333"/>
      <c r="AY354" s="106"/>
      <c r="AZ354" s="1334">
        <f>-BN541</f>
        <v>0</v>
      </c>
      <c r="BA354" s="1334"/>
      <c r="BB354" s="1334"/>
      <c r="BC354" s="70"/>
      <c r="BD354" s="1333">
        <f>AV354*(1+AZ354)</f>
        <v>0</v>
      </c>
      <c r="BE354" s="1333"/>
      <c r="BF354" s="1333"/>
      <c r="BG354"/>
      <c r="BH354" s="1300">
        <f>IF(BD354=0,0,ROUND(AV370+BD370+BL370,-1))</f>
        <v>0</v>
      </c>
      <c r="BI354" s="1301"/>
      <c r="BJ354" s="1301"/>
      <c r="BK354"/>
      <c r="BL354" s="1300">
        <f>ROUND(BD354*BH354,-2)</f>
        <v>0</v>
      </c>
      <c r="BM354" s="1301"/>
      <c r="BN354" s="1301"/>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funzionamento ausiliario supplementare per il freecooling o l'utilizzo del calore</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295" t="str">
        <f>IF(I123="","",I123)</f>
        <v/>
      </c>
      <c r="J356" s="1295"/>
      <c r="K356" s="1295"/>
      <c r="L356" s="1295"/>
      <c r="M356" s="1295"/>
      <c r="N356" s="1295"/>
      <c r="O356" s="1295"/>
      <c r="P356" s="1295"/>
      <c r="Q356" s="1295"/>
      <c r="R356" s="1295"/>
      <c r="S356" s="1295"/>
      <c r="T356" s="507"/>
      <c r="U356" s="506"/>
      <c r="V356" s="507"/>
      <c r="W356" s="507"/>
      <c r="X356" s="1462">
        <f>IF(AB112=0,X123,0)</f>
        <v>0</v>
      </c>
      <c r="Y356" s="1462"/>
      <c r="Z356" s="1462"/>
      <c r="AA356" s="450"/>
      <c r="AB356" s="1500">
        <f>IF(AB112=1,0,IF(Z550=I548,-$AP551,$AP551))</f>
        <v>0</v>
      </c>
      <c r="AC356" s="1501"/>
      <c r="AD356" s="1501"/>
      <c r="AE356" s="477"/>
      <c r="AF356" s="1462">
        <f>X356*(1+AB356)</f>
        <v>0</v>
      </c>
      <c r="AG356" s="1462"/>
      <c r="AH356" s="1462"/>
      <c r="AI356" s="283"/>
      <c r="AJ356" s="1340">
        <f>IF(AF356=0,0,ROUND(X372+AF372+AN372,-1))</f>
        <v>0</v>
      </c>
      <c r="AK356" s="1341"/>
      <c r="AL356" s="1341"/>
      <c r="AM356" s="283"/>
      <c r="AN356" s="1340">
        <f>ROUND(AF356*AJ356,-2)</f>
        <v>0</v>
      </c>
      <c r="AO356" s="1341"/>
      <c r="AP356" s="1341"/>
      <c r="AQ356"/>
      <c r="AR356"/>
      <c r="AS356"/>
      <c r="AT356" s="74"/>
      <c r="AU356" s="74"/>
      <c r="AV356" s="1462">
        <f>IF(AZ112=0,AV123,0)</f>
        <v>0</v>
      </c>
      <c r="AW356" s="1462"/>
      <c r="AX356" s="1462"/>
      <c r="AY356" s="450"/>
      <c r="AZ356" s="1500">
        <f>IF(AZ112=1,0,IF(AZ123=$I508,-$AP508,$AP507))</f>
        <v>0</v>
      </c>
      <c r="BA356" s="1501"/>
      <c r="BB356" s="1501"/>
      <c r="BC356" s="477"/>
      <c r="BD356" s="1462">
        <f>AV356*(1+AZ356)</f>
        <v>0</v>
      </c>
      <c r="BE356" s="1462"/>
      <c r="BF356" s="1462"/>
      <c r="BG356" s="283"/>
      <c r="BH356" s="1340">
        <f>IF(BD356=0,0,ROUND(AV372+BD372+BL372,-1))</f>
        <v>0</v>
      </c>
      <c r="BI356" s="1341"/>
      <c r="BJ356" s="1341"/>
      <c r="BK356" s="283"/>
      <c r="BL356" s="1340">
        <f>ROUND(BD356*BH356,-2)</f>
        <v>0</v>
      </c>
      <c r="BM356" s="1341"/>
      <c r="BN356" s="1341"/>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Totale</v>
      </c>
      <c r="J357" s="115"/>
      <c r="K357" s="115"/>
      <c r="L357" s="115"/>
      <c r="M357" s="115"/>
      <c r="N357" s="115"/>
      <c r="O357" s="115"/>
      <c r="P357" s="115"/>
      <c r="Q357" s="115"/>
      <c r="R357" s="115"/>
      <c r="S357" s="115"/>
      <c r="T357" s="115"/>
      <c r="U357" s="151" t="s">
        <v>20</v>
      </c>
      <c r="V357" s="115"/>
      <c r="W357" s="115"/>
      <c r="X357" s="1303"/>
      <c r="Y357" s="1303"/>
      <c r="Z357" s="1303"/>
      <c r="AA357" s="137"/>
      <c r="AB357" s="1359"/>
      <c r="AC357" s="1359"/>
      <c r="AD357" s="1359"/>
      <c r="AE357" s="178"/>
      <c r="AF357" s="1333"/>
      <c r="AG357" s="1333"/>
      <c r="AH357" s="1333"/>
      <c r="AI357" s="179"/>
      <c r="AJ357" s="1333"/>
      <c r="AK357" s="1333"/>
      <c r="AL357" s="1333"/>
      <c r="AM357" s="179"/>
      <c r="AN357" s="1315">
        <f>SUM(AN351:AP356)</f>
        <v>0</v>
      </c>
      <c r="AO357" s="1316"/>
      <c r="AP357" s="1316"/>
      <c r="AQ357" s="179"/>
      <c r="AR357" s="179"/>
      <c r="AS357" s="179"/>
      <c r="AT357" s="115"/>
      <c r="AU357" s="115"/>
      <c r="AV357" s="1303"/>
      <c r="AW357" s="1303"/>
      <c r="AX357" s="1303"/>
      <c r="AY357" s="137"/>
      <c r="AZ357" s="1359"/>
      <c r="BA357" s="1359"/>
      <c r="BB357" s="1359"/>
      <c r="BC357" s="178"/>
      <c r="BD357" s="1333"/>
      <c r="BE357" s="1333"/>
      <c r="BF357" s="1333"/>
      <c r="BG357" s="179"/>
      <c r="BH357" s="1333"/>
      <c r="BI357" s="1333"/>
      <c r="BJ357" s="1333"/>
      <c r="BK357" s="179"/>
      <c r="BL357" s="1315">
        <f>SUM(BL351:BN356)</f>
        <v>0</v>
      </c>
      <c r="BM357" s="1316"/>
      <c r="BN357" s="1316"/>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Durata aggregati ausiliari «parte calda»</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03"/>
      <c r="AK359" s="1303"/>
      <c r="AL359" s="1303"/>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Funzionamento normale</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300">
        <f>AJ363-AJ362-AJ361</f>
        <v>0</v>
      </c>
      <c r="AK360" s="1301"/>
      <c r="AL360" s="1301"/>
      <c r="AM360" t="s">
        <v>129</v>
      </c>
      <c r="AN360"/>
      <c r="AO360"/>
      <c r="AP360"/>
      <c r="AQ360"/>
      <c r="AR360"/>
      <c r="AS360"/>
      <c r="AT360" s="74"/>
      <c r="AU360" s="74"/>
      <c r="AV360" s="127"/>
      <c r="AW360" s="127"/>
      <c r="AX360" s="127"/>
      <c r="AY360" s="106"/>
      <c r="AZ360" s="574"/>
      <c r="BA360" s="147"/>
      <c r="BB360" s="147"/>
      <c r="BC360" s="70"/>
      <c r="BD360" s="127"/>
      <c r="BE360" s="127"/>
      <c r="BF360" s="127"/>
      <c r="BG360"/>
      <c r="BH360" s="1300">
        <f>BH363-BH362-BH361</f>
        <v>0</v>
      </c>
      <c r="BI360" s="1301"/>
      <c r="BJ360" s="1301"/>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405">
        <f>AB113</f>
        <v>0</v>
      </c>
      <c r="Y361" s="1405"/>
      <c r="Z361" s="1405"/>
      <c r="AA361" s="769"/>
      <c r="AB361" s="770"/>
      <c r="AC361" s="583"/>
      <c r="AD361" s="583"/>
      <c r="AE361" s="769"/>
      <c r="AF361" s="1405">
        <f>X874</f>
        <v>0</v>
      </c>
      <c r="AG361" s="1405"/>
      <c r="AH361" s="1405"/>
      <c r="AI361"/>
      <c r="AJ361" s="1266">
        <f>ROUND(X361*AF361*AF383,-1)</f>
        <v>0</v>
      </c>
      <c r="AK361" s="1293"/>
      <c r="AL361" s="1293"/>
      <c r="AM361" t="s">
        <v>129</v>
      </c>
      <c r="AN361"/>
      <c r="AO361"/>
      <c r="AP361"/>
      <c r="AQ361"/>
      <c r="AR361"/>
      <c r="AS361"/>
      <c r="AT361" s="74"/>
      <c r="AU361" s="74"/>
      <c r="AV361" s="1405">
        <f>AZ113</f>
        <v>0</v>
      </c>
      <c r="AW361" s="1405"/>
      <c r="AX361" s="1405"/>
      <c r="AY361" s="769"/>
      <c r="AZ361" s="770"/>
      <c r="BA361" s="583"/>
      <c r="BB361" s="583"/>
      <c r="BC361" s="769"/>
      <c r="BD361" s="1405">
        <f>AV874</f>
        <v>0</v>
      </c>
      <c r="BE361" s="1405"/>
      <c r="BF361" s="1405"/>
      <c r="BG361"/>
      <c r="BH361" s="1266">
        <f>ROUND(AV361*BD361*BD383,-1)</f>
        <v>0</v>
      </c>
      <c r="BI361" s="1293"/>
      <c r="BJ361" s="1293"/>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Recupero del calore</v>
      </c>
      <c r="K362" s="74"/>
      <c r="L362" s="74"/>
      <c r="M362" s="74"/>
      <c r="N362" s="74"/>
      <c r="O362" s="74"/>
      <c r="P362" s="74"/>
      <c r="Q362" s="74"/>
      <c r="R362" s="74"/>
      <c r="S362" s="74"/>
      <c r="T362" s="74"/>
      <c r="U362" s="95"/>
      <c r="V362" s="74"/>
      <c r="W362" s="74"/>
      <c r="X362" s="1405">
        <f>AB114</f>
        <v>0</v>
      </c>
      <c r="Y362" s="1405"/>
      <c r="Z362" s="1405"/>
      <c r="AA362" s="769"/>
      <c r="AB362" s="770"/>
      <c r="AC362" s="583"/>
      <c r="AD362" s="583"/>
      <c r="AE362" s="769"/>
      <c r="AF362" s="1405">
        <f>AN976</f>
        <v>0</v>
      </c>
      <c r="AG362" s="1405"/>
      <c r="AH362" s="1405"/>
      <c r="AI362"/>
      <c r="AJ362" s="1267">
        <f>ROUND(X362*AF362*AF383,-1)</f>
        <v>0</v>
      </c>
      <c r="AK362" s="1461"/>
      <c r="AL362" s="1461"/>
      <c r="AM362" s="283" t="s">
        <v>129</v>
      </c>
      <c r="AN362"/>
      <c r="AO362"/>
      <c r="AP362"/>
      <c r="AQ362"/>
      <c r="AR362"/>
      <c r="AS362"/>
      <c r="AT362" s="74"/>
      <c r="AU362" s="74"/>
      <c r="AV362" s="1405">
        <f>AZ114</f>
        <v>0</v>
      </c>
      <c r="AW362" s="1405"/>
      <c r="AX362" s="1405"/>
      <c r="AY362" s="769"/>
      <c r="AZ362" s="770"/>
      <c r="BA362" s="583"/>
      <c r="BB362" s="583"/>
      <c r="BC362" s="769"/>
      <c r="BD362" s="1405">
        <f>BL976</f>
        <v>0</v>
      </c>
      <c r="BE362" s="1405"/>
      <c r="BF362" s="1405"/>
      <c r="BG362"/>
      <c r="BH362" s="1267">
        <f>ROUND(AV362*BD362*BD383,-1)</f>
        <v>0</v>
      </c>
      <c r="BI362" s="1461"/>
      <c r="BJ362" s="1461"/>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Durata totale</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66">
        <f>AN328</f>
        <v>0</v>
      </c>
      <c r="AK363" s="1293"/>
      <c r="AL363" s="1293"/>
      <c r="AM363" t="s">
        <v>129</v>
      </c>
      <c r="AN363"/>
      <c r="AO363"/>
      <c r="AP363"/>
      <c r="AQ363"/>
      <c r="AR363"/>
      <c r="AS363"/>
      <c r="AT363" s="74"/>
      <c r="AU363" s="74"/>
      <c r="AV363" s="743"/>
      <c r="AW363" s="743"/>
      <c r="AX363" s="743"/>
      <c r="AY363" s="106"/>
      <c r="AZ363" s="574"/>
      <c r="BA363" s="147"/>
      <c r="BB363" s="147"/>
      <c r="BC363" s="70"/>
      <c r="BD363" s="743"/>
      <c r="BE363" s="743"/>
      <c r="BF363" s="743"/>
      <c r="BG363"/>
      <c r="BH363" s="1266">
        <f>BL328</f>
        <v>0</v>
      </c>
      <c r="BI363" s="1293"/>
      <c r="BJ363" s="1293"/>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321" t="s">
        <v>129</v>
      </c>
      <c r="Y366" s="1322"/>
      <c r="Z366" s="1322"/>
      <c r="AA366" s="106"/>
      <c r="AB366" s="1321" t="s">
        <v>28</v>
      </c>
      <c r="AC366" s="1322"/>
      <c r="AD366" s="1322"/>
      <c r="AE366" s="70"/>
      <c r="AF366" s="1321" t="s">
        <v>129</v>
      </c>
      <c r="AG366" s="1322"/>
      <c r="AH366" s="1322"/>
      <c r="AI366"/>
      <c r="AJ366" s="1321" t="s">
        <v>28</v>
      </c>
      <c r="AK366" s="1322"/>
      <c r="AL366" s="1322"/>
      <c r="AM366"/>
      <c r="AN366" s="1321" t="s">
        <v>129</v>
      </c>
      <c r="AO366" s="1322"/>
      <c r="AP366" s="1322"/>
      <c r="AQ366"/>
      <c r="AR366"/>
      <c r="AS366"/>
      <c r="AT366" s="74"/>
      <c r="AU366" s="95"/>
      <c r="AV366" s="1321" t="s">
        <v>129</v>
      </c>
      <c r="AW366" s="1322"/>
      <c r="AX366" s="1322"/>
      <c r="AY366" s="106"/>
      <c r="AZ366" s="1321" t="s">
        <v>28</v>
      </c>
      <c r="BA366" s="1322"/>
      <c r="BB366" s="1322"/>
      <c r="BC366" s="70"/>
      <c r="BD366" s="1321" t="s">
        <v>129</v>
      </c>
      <c r="BE366" s="1322"/>
      <c r="BF366" s="1322"/>
      <c r="BG366"/>
      <c r="BH366" s="1321" t="s">
        <v>28</v>
      </c>
      <c r="BI366" s="1322"/>
      <c r="BJ366" s="1322"/>
      <c r="BK366"/>
      <c r="BL366" s="1321" t="s">
        <v>129</v>
      </c>
      <c r="BM366" s="1322"/>
      <c r="BN366" s="1322"/>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Pompe circolazione caldo</v>
      </c>
      <c r="J367" s="74"/>
      <c r="K367" s="74"/>
      <c r="L367" s="74"/>
      <c r="M367" s="74"/>
      <c r="N367" s="74"/>
      <c r="O367" s="74"/>
      <c r="P367" s="74"/>
      <c r="Q367" s="74"/>
      <c r="R367" s="74"/>
      <c r="S367" s="74"/>
      <c r="T367" s="74"/>
      <c r="U367" s="95"/>
      <c r="V367" s="74"/>
      <c r="W367" s="74"/>
      <c r="X367" s="1289">
        <f>AJ360</f>
        <v>0</v>
      </c>
      <c r="Y367" s="1289"/>
      <c r="Z367" s="1289"/>
      <c r="AA367" s="106"/>
      <c r="AB367" s="1290">
        <f>AO859</f>
        <v>0</v>
      </c>
      <c r="AC367" s="1290"/>
      <c r="AD367" s="1290"/>
      <c r="AE367" s="70"/>
      <c r="AF367" s="1291">
        <f>AJ$361*AB367</f>
        <v>0</v>
      </c>
      <c r="AG367" s="1291"/>
      <c r="AH367" s="1291"/>
      <c r="AI367"/>
      <c r="AJ367" s="1403">
        <f>Z1014</f>
        <v>0.3</v>
      </c>
      <c r="AK367" s="1403"/>
      <c r="AL367" s="1403"/>
      <c r="AM367"/>
      <c r="AN367" s="1301">
        <f>AJ$362*AJ367</f>
        <v>0</v>
      </c>
      <c r="AO367" s="1301"/>
      <c r="AP367" s="1301"/>
      <c r="AQ367"/>
      <c r="AR367"/>
      <c r="AS367"/>
      <c r="AT367" s="74"/>
      <c r="AU367" s="74"/>
      <c r="AV367" s="1289">
        <f>BH360</f>
        <v>0</v>
      </c>
      <c r="AW367" s="1289"/>
      <c r="AX367" s="1289"/>
      <c r="AY367" s="106"/>
      <c r="AZ367" s="1334">
        <f>Z859</f>
        <v>0</v>
      </c>
      <c r="BA367" s="1334"/>
      <c r="BB367" s="1334"/>
      <c r="BC367" s="70"/>
      <c r="BD367" s="1291">
        <f>BH$361*AZ367</f>
        <v>0</v>
      </c>
      <c r="BE367" s="1291"/>
      <c r="BF367" s="1291"/>
      <c r="BG367"/>
      <c r="BH367" s="1403">
        <f>Z1014</f>
        <v>0.3</v>
      </c>
      <c r="BI367" s="1403"/>
      <c r="BJ367" s="1403"/>
      <c r="BK367"/>
      <c r="BL367" s="1301">
        <f>BH$362*BH367</f>
        <v>0</v>
      </c>
      <c r="BM367" s="1301"/>
      <c r="BN367" s="1301"/>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Pompe nebulizzazione</v>
      </c>
      <c r="J368" s="74"/>
      <c r="K368" s="74"/>
      <c r="L368" s="74"/>
      <c r="M368" s="74"/>
      <c r="N368" s="74"/>
      <c r="O368" s="74"/>
      <c r="P368" s="74"/>
      <c r="Q368" s="74"/>
      <c r="R368" s="74"/>
      <c r="S368" s="74"/>
      <c r="T368" s="74"/>
      <c r="U368" s="95"/>
      <c r="V368" s="74"/>
      <c r="W368" s="74"/>
      <c r="X368" s="1289">
        <f>X367</f>
        <v>0</v>
      </c>
      <c r="Y368" s="1289"/>
      <c r="Z368" s="1289"/>
      <c r="AA368" s="106"/>
      <c r="AB368" s="1334">
        <f>Z860</f>
        <v>0.5</v>
      </c>
      <c r="AC368" s="1335"/>
      <c r="AD368" s="1335"/>
      <c r="AE368" s="70"/>
      <c r="AF368" s="1291">
        <f>AJ$361*AB368</f>
        <v>0</v>
      </c>
      <c r="AG368" s="1291"/>
      <c r="AH368" s="1291"/>
      <c r="AI368"/>
      <c r="AJ368" s="1403">
        <f>Z1015</f>
        <v>0</v>
      </c>
      <c r="AK368" s="1403"/>
      <c r="AL368" s="1403"/>
      <c r="AM368"/>
      <c r="AN368" s="1301">
        <f>AJ$362*AJ368</f>
        <v>0</v>
      </c>
      <c r="AO368" s="1301"/>
      <c r="AP368" s="1301"/>
      <c r="AQ368"/>
      <c r="AR368"/>
      <c r="AS368"/>
      <c r="AT368" s="74"/>
      <c r="AU368" s="74"/>
      <c r="AV368" s="1289">
        <f>AV367</f>
        <v>0</v>
      </c>
      <c r="AW368" s="1289"/>
      <c r="AX368" s="1289"/>
      <c r="AY368" s="106"/>
      <c r="AZ368" s="1334">
        <f>Z860</f>
        <v>0.5</v>
      </c>
      <c r="BA368" s="1335"/>
      <c r="BB368" s="1335"/>
      <c r="BC368" s="70"/>
      <c r="BD368" s="1291">
        <f>BH$361*AZ368</f>
        <v>0</v>
      </c>
      <c r="BE368" s="1291"/>
      <c r="BF368" s="1291"/>
      <c r="BG368"/>
      <c r="BH368" s="1403">
        <f t="shared" ref="BH368:BH370" si="41">Z1015</f>
        <v>0</v>
      </c>
      <c r="BI368" s="1403"/>
      <c r="BJ368" s="1403"/>
      <c r="BK368"/>
      <c r="BL368" s="1301">
        <f>BH$362*BH368</f>
        <v>0</v>
      </c>
      <c r="BM368" s="1301"/>
      <c r="BN368" s="1301"/>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288" t="str">
        <f t="shared" si="40"/>
        <v>Ventilatori raffreddato /condensatore</v>
      </c>
      <c r="J369" s="1288"/>
      <c r="K369" s="1288"/>
      <c r="L369" s="1288"/>
      <c r="M369" s="1288"/>
      <c r="N369" s="1288"/>
      <c r="O369" s="1288"/>
      <c r="P369" s="1288"/>
      <c r="Q369" s="1288"/>
      <c r="R369" s="1288"/>
      <c r="S369" s="1288"/>
      <c r="T369" s="74"/>
      <c r="U369" s="95"/>
      <c r="V369" s="74"/>
      <c r="W369" s="74"/>
      <c r="X369" s="1289">
        <f>X367</f>
        <v>0</v>
      </c>
      <c r="Y369" s="1289"/>
      <c r="Z369" s="1289"/>
      <c r="AA369" s="106"/>
      <c r="AB369" s="1334">
        <f>Z861</f>
        <v>1</v>
      </c>
      <c r="AC369" s="1335"/>
      <c r="AD369" s="1335"/>
      <c r="AE369" s="70"/>
      <c r="AF369" s="1291">
        <f>AJ$361*AB369</f>
        <v>0</v>
      </c>
      <c r="AG369" s="1291"/>
      <c r="AH369" s="1291"/>
      <c r="AI369"/>
      <c r="AJ369" s="1403">
        <f>Z1016</f>
        <v>0.4</v>
      </c>
      <c r="AK369" s="1403"/>
      <c r="AL369" s="1403"/>
      <c r="AM369"/>
      <c r="AN369" s="1301">
        <f>AJ$362*AJ369</f>
        <v>0</v>
      </c>
      <c r="AO369" s="1301"/>
      <c r="AP369" s="1301"/>
      <c r="AQ369"/>
      <c r="AR369"/>
      <c r="AS369"/>
      <c r="AT369" s="74"/>
      <c r="AU369" s="74"/>
      <c r="AV369" s="1289">
        <f>AV367</f>
        <v>0</v>
      </c>
      <c r="AW369" s="1289"/>
      <c r="AX369" s="1289"/>
      <c r="AY369" s="106"/>
      <c r="AZ369" s="1334">
        <f t="shared" ref="AZ369:AZ370" si="42">Z861</f>
        <v>1</v>
      </c>
      <c r="BA369" s="1335"/>
      <c r="BB369" s="1335"/>
      <c r="BC369" s="70"/>
      <c r="BD369" s="1291">
        <f>BH$361*AZ369</f>
        <v>0</v>
      </c>
      <c r="BE369" s="1291"/>
      <c r="BF369" s="1291"/>
      <c r="BG369"/>
      <c r="BH369" s="1403">
        <f t="shared" si="41"/>
        <v>0.4</v>
      </c>
      <c r="BI369" s="1403"/>
      <c r="BJ369" s="1403"/>
      <c r="BK369"/>
      <c r="BL369" s="1301">
        <f>BH$362*BH369</f>
        <v>0</v>
      </c>
      <c r="BM369" s="1301"/>
      <c r="BN369" s="1301"/>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289">
        <f>AJ363</f>
        <v>0</v>
      </c>
      <c r="Y370" s="1289"/>
      <c r="Z370" s="1289"/>
      <c r="AA370" s="106"/>
      <c r="AB370" s="1334">
        <f>Z862</f>
        <v>1</v>
      </c>
      <c r="AC370" s="1335"/>
      <c r="AD370" s="1335"/>
      <c r="AE370" s="70"/>
      <c r="AF370" s="1291">
        <f>AJ$361*AB370</f>
        <v>0</v>
      </c>
      <c r="AG370" s="1291"/>
      <c r="AH370" s="1291"/>
      <c r="AI370"/>
      <c r="AJ370" s="1356">
        <f>Z1017</f>
        <v>1</v>
      </c>
      <c r="AK370" s="1301"/>
      <c r="AL370" s="1301"/>
      <c r="AM370"/>
      <c r="AN370" s="1301">
        <f>AJ$362*AJ370</f>
        <v>0</v>
      </c>
      <c r="AO370" s="1301"/>
      <c r="AP370" s="1301"/>
      <c r="AQ370"/>
      <c r="AR370"/>
      <c r="AS370"/>
      <c r="AT370" s="74"/>
      <c r="AU370" s="74"/>
      <c r="AV370" s="1289">
        <f>BH363</f>
        <v>0</v>
      </c>
      <c r="AW370" s="1289"/>
      <c r="AX370" s="1289"/>
      <c r="AY370" s="106"/>
      <c r="AZ370" s="1334">
        <f t="shared" si="42"/>
        <v>1</v>
      </c>
      <c r="BA370" s="1335"/>
      <c r="BB370" s="1335"/>
      <c r="BC370" s="70"/>
      <c r="BD370" s="1291">
        <f>BH$361*AZ370</f>
        <v>0</v>
      </c>
      <c r="BE370" s="1291"/>
      <c r="BF370" s="1291"/>
      <c r="BG370"/>
      <c r="BH370" s="1403">
        <f t="shared" si="41"/>
        <v>1</v>
      </c>
      <c r="BI370" s="1403"/>
      <c r="BJ370" s="1403"/>
      <c r="BK370"/>
      <c r="BL370" s="1301">
        <f>BH$362*BH370</f>
        <v>0</v>
      </c>
      <c r="BM370" s="1301"/>
      <c r="BN370" s="1301"/>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funzionamento ausiliario supplementare per il freecooling o l'utilizzo del calore</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295" t="str">
        <f t="shared" si="40"/>
        <v/>
      </c>
      <c r="J372" s="1295"/>
      <c r="K372" s="1295"/>
      <c r="L372" s="1295"/>
      <c r="M372" s="1295"/>
      <c r="N372" s="1295"/>
      <c r="O372" s="1295"/>
      <c r="P372" s="1295"/>
      <c r="Q372" s="1295"/>
      <c r="R372" s="1295"/>
      <c r="S372" s="1295"/>
      <c r="T372" s="507"/>
      <c r="U372" s="506"/>
      <c r="V372" s="507"/>
      <c r="W372" s="507"/>
      <c r="X372" s="1296"/>
      <c r="Y372" s="1296"/>
      <c r="Z372" s="1296"/>
      <c r="AA372" s="450"/>
      <c r="AB372" s="1500">
        <v>1</v>
      </c>
      <c r="AC372" s="1501"/>
      <c r="AD372" s="1501"/>
      <c r="AE372" s="477"/>
      <c r="AF372" s="1298">
        <f>AJ$361*AB372</f>
        <v>0</v>
      </c>
      <c r="AG372" s="1298"/>
      <c r="AH372" s="1298"/>
      <c r="AI372" s="283"/>
      <c r="AJ372" s="1512">
        <v>1</v>
      </c>
      <c r="AK372" s="1512"/>
      <c r="AL372" s="1512"/>
      <c r="AM372" s="283"/>
      <c r="AN372" s="1341">
        <f>AJ$362*AJ372</f>
        <v>0</v>
      </c>
      <c r="AO372" s="1341"/>
      <c r="AP372" s="1341"/>
      <c r="AQ372"/>
      <c r="AR372"/>
      <c r="AS372"/>
      <c r="AT372" s="74"/>
      <c r="AU372" s="507"/>
      <c r="AV372" s="1296"/>
      <c r="AW372" s="1296"/>
      <c r="AX372" s="1296"/>
      <c r="AY372" s="450"/>
      <c r="AZ372" s="1500">
        <v>1</v>
      </c>
      <c r="BA372" s="1501"/>
      <c r="BB372" s="1501"/>
      <c r="BC372" s="477"/>
      <c r="BD372" s="1298">
        <f>BH$361*AZ372</f>
        <v>0</v>
      </c>
      <c r="BE372" s="1298"/>
      <c r="BF372" s="1298"/>
      <c r="BG372" s="283"/>
      <c r="BH372" s="1512">
        <v>1</v>
      </c>
      <c r="BI372" s="1512"/>
      <c r="BJ372" s="1512"/>
      <c r="BK372" s="283"/>
      <c r="BL372" s="1341">
        <f>BH$362*BH372</f>
        <v>0</v>
      </c>
      <c r="BM372" s="1341"/>
      <c r="BN372" s="1341"/>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03"/>
      <c r="Y373" s="1303"/>
      <c r="Z373" s="1303"/>
      <c r="AA373" s="137"/>
      <c r="AB373" s="1359"/>
      <c r="AC373" s="1359"/>
      <c r="AD373" s="1359"/>
      <c r="AE373" s="178"/>
      <c r="AF373" s="1333"/>
      <c r="AG373" s="1333"/>
      <c r="AH373" s="1333"/>
      <c r="AI373" s="179"/>
      <c r="AJ373" s="1333"/>
      <c r="AK373" s="1333"/>
      <c r="AL373" s="1333"/>
      <c r="AM373" s="179"/>
      <c r="AN373" s="179"/>
      <c r="AO373" s="179"/>
      <c r="AP373" s="179"/>
      <c r="AQ373" s="179"/>
      <c r="AR373" s="179"/>
      <c r="AS373" s="179"/>
      <c r="AT373" s="115"/>
      <c r="AU373" s="115"/>
      <c r="AV373" s="1303"/>
      <c r="AW373" s="1303"/>
      <c r="AX373" s="1303"/>
      <c r="AY373" s="137"/>
      <c r="AZ373" s="1359"/>
      <c r="BA373" s="1359"/>
      <c r="BB373" s="1359"/>
      <c r="BC373" s="178"/>
      <c r="BD373" s="1333"/>
      <c r="BE373" s="1333"/>
      <c r="BF373" s="1333"/>
      <c r="BG373" s="179"/>
      <c r="BH373" s="1333"/>
      <c r="BI373" s="1333"/>
      <c r="BJ373" s="1333"/>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Consumo elettricità aggregati ausiliari «parte fredda»</v>
      </c>
      <c r="X376" s="1361" t="s">
        <v>127</v>
      </c>
      <c r="Y376" s="1361"/>
      <c r="Z376" s="1361"/>
      <c r="AA376" s="35"/>
      <c r="AB376" s="1361" t="str">
        <f>AB348</f>
        <v>Regolazione</v>
      </c>
      <c r="AC376" s="1361"/>
      <c r="AD376" s="1361"/>
      <c r="AE376" s="35"/>
      <c r="AF376" s="1474" t="str">
        <f>X!$C$192</f>
        <v>Pe (corr.)</v>
      </c>
      <c r="AG376" s="1361"/>
      <c r="AH376" s="1361"/>
      <c r="AI376" s="35"/>
      <c r="AJ376" s="35"/>
      <c r="AK376" s="35"/>
      <c r="AL376" s="35"/>
      <c r="AM376" s="35"/>
      <c r="AN376" s="35"/>
      <c r="AO376" s="35"/>
      <c r="AP376" s="35"/>
      <c r="AQ376" s="35"/>
      <c r="AR376" s="35"/>
      <c r="AS376" s="35"/>
      <c r="AT376" s="35"/>
      <c r="AU376" s="35"/>
      <c r="AV376" s="1361" t="s">
        <v>127</v>
      </c>
      <c r="AW376" s="1361"/>
      <c r="AX376" s="1361"/>
      <c r="AY376" s="35"/>
      <c r="AZ376" s="1361" t="str">
        <f>AZ348</f>
        <v>Regolazione</v>
      </c>
      <c r="BA376" s="1361"/>
      <c r="BB376" s="1361"/>
      <c r="BC376" s="35"/>
      <c r="BD376" s="1474" t="str">
        <f>X!$C$192</f>
        <v>Pe (corr.)</v>
      </c>
      <c r="BE376" s="1361"/>
      <c r="BF376" s="1361"/>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Pompe circolazione freddo</v>
      </c>
      <c r="J378" s="95"/>
      <c r="K378" s="95"/>
      <c r="M378" s="95"/>
      <c r="N378" s="95"/>
      <c r="O378" s="95"/>
      <c r="P378" s="95"/>
      <c r="Q378" s="95"/>
      <c r="R378" s="95"/>
      <c r="S378" s="95"/>
      <c r="T378" s="95"/>
      <c r="U378" s="95" t="s">
        <v>83</v>
      </c>
      <c r="V378" s="95"/>
      <c r="W378" s="95"/>
      <c r="X378" s="1333">
        <f>X89</f>
        <v>0</v>
      </c>
      <c r="Y378" s="1333"/>
      <c r="Z378" s="1333"/>
      <c r="AA378" s="106"/>
      <c r="AB378" s="1404">
        <f>-AP566</f>
        <v>0</v>
      </c>
      <c r="AC378" s="1293"/>
      <c r="AD378" s="1293"/>
      <c r="AE378" s="70"/>
      <c r="AF378" s="1333">
        <f>X378*(1+AB378)</f>
        <v>0</v>
      </c>
      <c r="AG378" s="1333"/>
      <c r="AH378" s="1333"/>
      <c r="AI378"/>
      <c r="AJ378"/>
      <c r="AK378"/>
      <c r="AL378"/>
      <c r="AM378"/>
      <c r="AN378"/>
      <c r="AO378"/>
      <c r="AP378"/>
      <c r="AQ378"/>
      <c r="AR378"/>
      <c r="AS378"/>
      <c r="AT378" s="74"/>
      <c r="AU378" s="74"/>
      <c r="AV378" s="1333">
        <f>AV89</f>
        <v>0</v>
      </c>
      <c r="AW378" s="1333"/>
      <c r="AX378" s="1333"/>
      <c r="AY378" s="106"/>
      <c r="AZ378" s="1404">
        <f>-BN566</f>
        <v>0</v>
      </c>
      <c r="BA378" s="1293"/>
      <c r="BB378" s="1293"/>
      <c r="BC378" s="70"/>
      <c r="BD378" s="1333">
        <f>AV378*(1+AZ378)</f>
        <v>0</v>
      </c>
      <c r="BE378" s="1333"/>
      <c r="BF378" s="1333"/>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Ventilatori gruppo freddo</v>
      </c>
      <c r="J379" s="95"/>
      <c r="K379" s="95"/>
      <c r="M379" s="95"/>
      <c r="N379" s="95"/>
      <c r="O379" s="95"/>
      <c r="P379" s="95"/>
      <c r="Q379" s="95"/>
      <c r="R379" s="95"/>
      <c r="S379" s="95"/>
      <c r="T379" s="95"/>
      <c r="U379" s="95" t="s">
        <v>83</v>
      </c>
      <c r="V379" s="95"/>
      <c r="W379" s="95"/>
      <c r="X379" s="1333">
        <f>X91</f>
        <v>0</v>
      </c>
      <c r="Y379" s="1333"/>
      <c r="Z379" s="1333"/>
      <c r="AA379" s="106"/>
      <c r="AB379" s="1404">
        <f>-AP576</f>
        <v>0</v>
      </c>
      <c r="AC379" s="1293"/>
      <c r="AD379" s="1293"/>
      <c r="AE379" s="70"/>
      <c r="AF379" s="1333">
        <f>X379*(1+AB379)</f>
        <v>0</v>
      </c>
      <c r="AG379" s="1333"/>
      <c r="AH379" s="1333"/>
      <c r="AI379"/>
      <c r="AJ379"/>
      <c r="AK379"/>
      <c r="AL379"/>
      <c r="AM379"/>
      <c r="AN379"/>
      <c r="AO379"/>
      <c r="AP379"/>
      <c r="AQ379"/>
      <c r="AR379"/>
      <c r="AS379"/>
      <c r="AT379" s="74"/>
      <c r="AU379" s="74"/>
      <c r="AV379" s="1333">
        <f>AV91</f>
        <v>0</v>
      </c>
      <c r="AW379" s="1333"/>
      <c r="AX379" s="1333"/>
      <c r="AY379" s="106"/>
      <c r="AZ379" s="1404">
        <f>-BN576</f>
        <v>0</v>
      </c>
      <c r="BA379" s="1293"/>
      <c r="BB379" s="1293"/>
      <c r="BC379" s="70"/>
      <c r="BD379" s="1333">
        <f>AV379*(1+AZ379)</f>
        <v>0</v>
      </c>
      <c r="BE379" s="1333"/>
      <c r="BF379" s="1333"/>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328">
        <f>X93</f>
        <v>0</v>
      </c>
      <c r="Y380" s="1328"/>
      <c r="Z380" s="1328"/>
      <c r="AA380" s="184"/>
      <c r="AB380" s="1337">
        <f>-AP586</f>
        <v>0</v>
      </c>
      <c r="AC380" s="1338"/>
      <c r="AD380" s="1338"/>
      <c r="AE380" s="185"/>
      <c r="AF380" s="1328">
        <f>X380*(1+AB380)</f>
        <v>0</v>
      </c>
      <c r="AG380" s="1328"/>
      <c r="AH380" s="1328"/>
      <c r="AI380"/>
      <c r="AJ380"/>
      <c r="AK380"/>
      <c r="AL380"/>
      <c r="AM380"/>
      <c r="AN380"/>
      <c r="AO380"/>
      <c r="AP380"/>
      <c r="AQ380"/>
      <c r="AR380"/>
      <c r="AS380"/>
      <c r="AT380" s="74"/>
      <c r="AU380" s="74"/>
      <c r="AV380" s="1328">
        <f>AV93</f>
        <v>0</v>
      </c>
      <c r="AW380" s="1328"/>
      <c r="AX380" s="1328"/>
      <c r="AY380" s="184"/>
      <c r="AZ380" s="1337">
        <f>-BN586</f>
        <v>0</v>
      </c>
      <c r="BA380" s="1338"/>
      <c r="BB380" s="1338"/>
      <c r="BC380" s="185"/>
      <c r="BD380" s="1328">
        <f>AV380*(1+AZ380)</f>
        <v>0</v>
      </c>
      <c r="BE380" s="1328"/>
      <c r="BF380" s="1328"/>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Totale</v>
      </c>
      <c r="J381" s="115"/>
      <c r="K381" s="115"/>
      <c r="L381" s="115"/>
      <c r="M381" s="115"/>
      <c r="N381" s="115"/>
      <c r="O381" s="115"/>
      <c r="P381" s="115"/>
      <c r="Q381" s="115"/>
      <c r="R381" s="115"/>
      <c r="S381" s="115"/>
      <c r="T381" s="115"/>
      <c r="U381" s="151" t="s">
        <v>83</v>
      </c>
      <c r="V381" s="115"/>
      <c r="W381" s="115"/>
      <c r="X381" s="1303"/>
      <c r="Y381" s="1303"/>
      <c r="Z381" s="1303"/>
      <c r="AA381" s="137"/>
      <c r="AB381" s="1359"/>
      <c r="AC381" s="1359"/>
      <c r="AD381" s="1359"/>
      <c r="AE381" s="178"/>
      <c r="AF381" s="1333">
        <f>SUM(AF378:AH380)</f>
        <v>0</v>
      </c>
      <c r="AG381" s="1333"/>
      <c r="AH381" s="1333"/>
      <c r="AI381" s="179"/>
      <c r="AJ381" s="179"/>
      <c r="AK381" s="179"/>
      <c r="AL381" s="179"/>
      <c r="AM381" s="179"/>
      <c r="AN381" s="179"/>
      <c r="AO381" s="179"/>
      <c r="AP381" s="179"/>
      <c r="AQ381" s="179"/>
      <c r="AR381" s="179"/>
      <c r="AS381" s="179"/>
      <c r="AT381" s="115"/>
      <c r="AU381" s="115"/>
      <c r="AV381" s="1303"/>
      <c r="AW381" s="1303"/>
      <c r="AX381" s="1303"/>
      <c r="AY381" s="137"/>
      <c r="AZ381" s="1359"/>
      <c r="BA381" s="1359"/>
      <c r="BB381" s="1359"/>
      <c r="BC381" s="178"/>
      <c r="BD381" s="1333">
        <f>SUM(BD378:BF380)</f>
        <v>0</v>
      </c>
      <c r="BE381" s="1333"/>
      <c r="BF381" s="1333"/>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Durata</v>
      </c>
      <c r="J383" s="74"/>
      <c r="K383" s="74"/>
      <c r="L383" s="74"/>
      <c r="M383" s="74"/>
      <c r="N383" s="74"/>
      <c r="O383" s="74"/>
      <c r="P383" s="74"/>
      <c r="Q383" s="74"/>
      <c r="R383" s="74"/>
      <c r="S383" s="74"/>
      <c r="T383" s="74"/>
      <c r="U383" s="95" t="s">
        <v>129</v>
      </c>
      <c r="V383" s="74"/>
      <c r="W383" s="74"/>
      <c r="X383" s="1333"/>
      <c r="Y383" s="1333"/>
      <c r="Z383" s="1333"/>
      <c r="AA383" s="106"/>
      <c r="AB383" s="1293"/>
      <c r="AC383" s="1293"/>
      <c r="AD383" s="1293"/>
      <c r="AE383" s="70"/>
      <c r="AF383" s="1266">
        <f>AN328</f>
        <v>0</v>
      </c>
      <c r="AG383" s="1293"/>
      <c r="AH383" s="1293"/>
      <c r="AI383"/>
      <c r="AJ383"/>
      <c r="AK383"/>
      <c r="AL383"/>
      <c r="AM383"/>
      <c r="AN383"/>
      <c r="AO383"/>
      <c r="AP383"/>
      <c r="AQ383"/>
      <c r="AR383"/>
      <c r="AS383"/>
      <c r="AT383" s="74"/>
      <c r="AU383" s="74"/>
      <c r="AV383" s="1333"/>
      <c r="AW383" s="1333"/>
      <c r="AX383" s="1333"/>
      <c r="AY383" s="106"/>
      <c r="AZ383" s="1293"/>
      <c r="BA383" s="1293"/>
      <c r="BB383" s="1293"/>
      <c r="BC383" s="70"/>
      <c r="BD383" s="1266">
        <f>BL328</f>
        <v>0</v>
      </c>
      <c r="BE383" s="1293"/>
      <c r="BF383" s="1293"/>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Totale</v>
      </c>
      <c r="J384" s="155"/>
      <c r="K384" s="155"/>
      <c r="L384" s="155"/>
      <c r="M384" s="155"/>
      <c r="N384" s="155"/>
      <c r="O384" s="155"/>
      <c r="P384" s="155"/>
      <c r="Q384" s="155"/>
      <c r="R384" s="155"/>
      <c r="S384" s="155"/>
      <c r="T384" s="155"/>
      <c r="U384" s="156" t="s">
        <v>20</v>
      </c>
      <c r="V384" s="155"/>
      <c r="W384" s="155"/>
      <c r="X384" s="1380"/>
      <c r="Y384" s="1380"/>
      <c r="Z384" s="1380"/>
      <c r="AA384" s="160"/>
      <c r="AB384" s="1360"/>
      <c r="AC384" s="1360"/>
      <c r="AD384" s="1360"/>
      <c r="AE384" s="186"/>
      <c r="AF384" s="1391">
        <f>IF(AF381*AF383&gt;10000,ROUND(AF381*AF383,-3),ROUND(AF381*AF383,-2))</f>
        <v>0</v>
      </c>
      <c r="AG384" s="1391"/>
      <c r="AH384" s="1391"/>
      <c r="AI384" s="179"/>
      <c r="AJ384" s="179"/>
      <c r="AK384" s="179"/>
      <c r="AL384" s="179"/>
      <c r="AM384" s="179"/>
      <c r="AN384" s="179"/>
      <c r="AO384" s="179"/>
      <c r="AP384" s="179"/>
      <c r="AQ384" s="179"/>
      <c r="AR384" s="179"/>
      <c r="AS384" s="179"/>
      <c r="AT384" s="115"/>
      <c r="AU384" s="115"/>
      <c r="AV384" s="1380"/>
      <c r="AW384" s="1380"/>
      <c r="AX384" s="1380"/>
      <c r="AY384" s="160"/>
      <c r="AZ384" s="1360"/>
      <c r="BA384" s="1360"/>
      <c r="BB384" s="1360"/>
      <c r="BC384" s="186"/>
      <c r="BD384" s="1391">
        <f>IF(BD381*BD383&gt;10000,ROUND(BD381*BD383,-3),ROUND(BD381*BD383,-2))</f>
        <v>0</v>
      </c>
      <c r="BE384" s="1391"/>
      <c r="BF384" s="1391"/>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Recupero del calore</v>
      </c>
      <c r="X387" s="1301" t="str">
        <f>X324</f>
        <v>Primavera</v>
      </c>
      <c r="Y387" s="1301"/>
      <c r="Z387" s="1301"/>
      <c r="AA387" s="70"/>
      <c r="AB387" s="1301" t="str">
        <f>AB324</f>
        <v>Estate</v>
      </c>
      <c r="AC387" s="1301"/>
      <c r="AD387" s="1301"/>
      <c r="AE387" s="70"/>
      <c r="AF387" s="1301" t="str">
        <f>AF324</f>
        <v>Autunno</v>
      </c>
      <c r="AG387" s="1301"/>
      <c r="AH387" s="1301"/>
      <c r="AI387" s="70"/>
      <c r="AJ387" s="1301" t="str">
        <f>AJ324</f>
        <v>Inverno</v>
      </c>
      <c r="AK387" s="1301"/>
      <c r="AL387" s="1301"/>
      <c r="AM387" s="70"/>
      <c r="AN387" s="1301" t="str">
        <f>AN324</f>
        <v>Anno</v>
      </c>
      <c r="AO387" s="1301"/>
      <c r="AP387" s="1301"/>
      <c r="AQ387" s="70"/>
      <c r="AR387" s="70"/>
      <c r="AV387" s="1301" t="str">
        <f>X387</f>
        <v>Primavera</v>
      </c>
      <c r="AW387" s="1301"/>
      <c r="AX387" s="1301"/>
      <c r="AZ387" s="1301" t="str">
        <f>AB387</f>
        <v>Estate</v>
      </c>
      <c r="BA387" s="1301"/>
      <c r="BB387" s="1301"/>
      <c r="BD387" s="1301" t="str">
        <f>AF387</f>
        <v>Autunno</v>
      </c>
      <c r="BE387" s="1301"/>
      <c r="BF387" s="1301"/>
      <c r="BH387" s="1301" t="str">
        <f>AJ387</f>
        <v>Inverno</v>
      </c>
      <c r="BI387" s="1301"/>
      <c r="BJ387" s="1301"/>
      <c r="BL387" s="1301" t="str">
        <f>AN387</f>
        <v>Anno</v>
      </c>
      <c r="BM387" s="1301"/>
      <c r="BN387" s="1301"/>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Calore disponibile</v>
      </c>
      <c r="K389" s="499"/>
      <c r="L389" s="499"/>
      <c r="M389" s="499"/>
      <c r="N389" s="499"/>
      <c r="O389" s="499"/>
      <c r="P389" s="499"/>
      <c r="Q389" s="499"/>
      <c r="R389" s="499"/>
      <c r="S389" s="499"/>
      <c r="T389" s="499"/>
      <c r="U389" s="499" t="s">
        <v>176</v>
      </c>
      <c r="V389" s="499"/>
      <c r="W389" s="1300">
        <f>W965</f>
        <v>0</v>
      </c>
      <c r="X389" s="1301"/>
      <c r="Y389" s="1301"/>
      <c r="Z389" s="1301"/>
      <c r="AA389" s="1300">
        <f>AA965</f>
        <v>0</v>
      </c>
      <c r="AB389" s="1301"/>
      <c r="AC389" s="1301"/>
      <c r="AD389" s="1301"/>
      <c r="AE389" s="1300">
        <f>AE965</f>
        <v>0</v>
      </c>
      <c r="AF389" s="1301"/>
      <c r="AG389" s="1301"/>
      <c r="AH389" s="1301"/>
      <c r="AI389" s="1300">
        <f>AI965</f>
        <v>0</v>
      </c>
      <c r="AJ389" s="1301"/>
      <c r="AK389" s="1301"/>
      <c r="AL389" s="1301"/>
      <c r="AM389" s="1300">
        <f>AM965</f>
        <v>0</v>
      </c>
      <c r="AN389" s="1301"/>
      <c r="AO389" s="1301"/>
      <c r="AP389" s="1301"/>
      <c r="AQ389" s="560"/>
      <c r="AR389" s="560"/>
      <c r="AS389" s="561"/>
      <c r="AT389" s="561"/>
      <c r="AU389" s="1300">
        <f>AU965</f>
        <v>0</v>
      </c>
      <c r="AV389" s="1301"/>
      <c r="AW389" s="1301"/>
      <c r="AX389" s="1301"/>
      <c r="AY389" s="1300">
        <f>AY965</f>
        <v>0</v>
      </c>
      <c r="AZ389" s="1301"/>
      <c r="BA389" s="1301"/>
      <c r="BB389" s="1301"/>
      <c r="BC389" s="1300">
        <f>BC965</f>
        <v>0</v>
      </c>
      <c r="BD389" s="1301"/>
      <c r="BE389" s="1301"/>
      <c r="BF389" s="1301"/>
      <c r="BG389" s="1300">
        <f>BG965</f>
        <v>0</v>
      </c>
      <c r="BH389" s="1301"/>
      <c r="BI389" s="1301"/>
      <c r="BJ389" s="1301"/>
      <c r="BK389" s="1300">
        <f>BK965</f>
        <v>0</v>
      </c>
      <c r="BL389" s="1301"/>
      <c r="BM389" s="1301"/>
      <c r="BN389" s="1301"/>
      <c r="BO389" s="121"/>
      <c r="BQ389" s="201"/>
      <c r="BU389" s="876"/>
      <c r="BV389" s="876"/>
      <c r="BW389" s="876"/>
      <c r="BX389" s="876"/>
      <c r="BY389" s="876"/>
      <c r="BZ389" s="876"/>
      <c r="CA389" s="876"/>
      <c r="CB389" s="876"/>
      <c r="CC389" s="876"/>
    </row>
    <row r="390" spans="5:124" ht="17" customHeight="1" outlineLevel="1" x14ac:dyDescent="0.2">
      <c r="G390" s="118"/>
      <c r="I390" t="str">
        <f>X!C350</f>
        <v>Fabbisogno di calore (riscaldamento, acqua potabile calda, processi)</v>
      </c>
      <c r="K390" s="499"/>
      <c r="L390" s="499"/>
      <c r="M390" s="499"/>
      <c r="N390" s="499"/>
      <c r="O390" s="499"/>
      <c r="P390" s="499"/>
      <c r="Q390" s="499"/>
      <c r="R390" s="499"/>
      <c r="S390" s="499"/>
      <c r="T390" s="499"/>
      <c r="U390" s="499" t="s">
        <v>176</v>
      </c>
      <c r="V390" s="499"/>
      <c r="W390" s="1300">
        <f>W957</f>
        <v>0</v>
      </c>
      <c r="X390" s="1301"/>
      <c r="Y390" s="1301"/>
      <c r="Z390" s="1301"/>
      <c r="AA390" s="1300">
        <f>AA957</f>
        <v>0</v>
      </c>
      <c r="AB390" s="1301"/>
      <c r="AC390" s="1301"/>
      <c r="AD390" s="1301"/>
      <c r="AE390" s="1300">
        <f>AE957</f>
        <v>0</v>
      </c>
      <c r="AF390" s="1301"/>
      <c r="AG390" s="1301"/>
      <c r="AH390" s="1301"/>
      <c r="AI390" s="1300">
        <f>AI957</f>
        <v>0</v>
      </c>
      <c r="AJ390" s="1301"/>
      <c r="AK390" s="1301"/>
      <c r="AL390" s="1301"/>
      <c r="AM390" s="1300">
        <f>AM957</f>
        <v>0</v>
      </c>
      <c r="AN390" s="1301"/>
      <c r="AO390" s="1301"/>
      <c r="AP390" s="1301"/>
      <c r="AQ390" s="560"/>
      <c r="AR390" s="560"/>
      <c r="AS390" s="561"/>
      <c r="AT390" s="561"/>
      <c r="AU390" s="1300">
        <f>AU957</f>
        <v>0</v>
      </c>
      <c r="AV390" s="1301"/>
      <c r="AW390" s="1301"/>
      <c r="AX390" s="1301"/>
      <c r="AY390" s="1300">
        <f>AY957</f>
        <v>0</v>
      </c>
      <c r="AZ390" s="1301"/>
      <c r="BA390" s="1301"/>
      <c r="BB390" s="1301"/>
      <c r="BC390" s="1300">
        <f>BC957</f>
        <v>0</v>
      </c>
      <c r="BD390" s="1301"/>
      <c r="BE390" s="1301"/>
      <c r="BF390" s="1301"/>
      <c r="BG390" s="1300">
        <f>BG957</f>
        <v>0</v>
      </c>
      <c r="BH390" s="1301"/>
      <c r="BI390" s="1301"/>
      <c r="BJ390" s="1301"/>
      <c r="BK390" s="1300">
        <f>BK957</f>
        <v>0</v>
      </c>
      <c r="BL390" s="1301"/>
      <c r="BM390" s="1301"/>
      <c r="BN390" s="1301"/>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Calore utilizzato effettivo (1)</v>
      </c>
      <c r="J391" s="565"/>
      <c r="K391" s="156"/>
      <c r="L391" s="156"/>
      <c r="M391" s="156"/>
      <c r="N391" s="156"/>
      <c r="O391" s="156"/>
      <c r="P391" s="156"/>
      <c r="Q391" s="156"/>
      <c r="R391" s="156"/>
      <c r="S391" s="156"/>
      <c r="T391" s="156"/>
      <c r="U391" s="156" t="s">
        <v>176</v>
      </c>
      <c r="V391" s="156"/>
      <c r="W391" s="1390">
        <f>W968</f>
        <v>0</v>
      </c>
      <c r="X391" s="1390"/>
      <c r="Y391" s="1390"/>
      <c r="Z391" s="1390"/>
      <c r="AA391" s="1390">
        <f t="shared" ref="AA391" si="43">AA968</f>
        <v>0</v>
      </c>
      <c r="AB391" s="1390"/>
      <c r="AC391" s="1390"/>
      <c r="AD391" s="1390"/>
      <c r="AE391" s="1390">
        <f t="shared" ref="AE391" si="44">AE968</f>
        <v>0</v>
      </c>
      <c r="AF391" s="1390"/>
      <c r="AG391" s="1390"/>
      <c r="AH391" s="1390"/>
      <c r="AI391" s="1390">
        <f t="shared" ref="AI391" si="45">AI968</f>
        <v>0</v>
      </c>
      <c r="AJ391" s="1390"/>
      <c r="AK391" s="1390"/>
      <c r="AL391" s="1390"/>
      <c r="AM391" s="1390">
        <f t="shared" ref="AM391" si="46">AM968</f>
        <v>0</v>
      </c>
      <c r="AN391" s="1390"/>
      <c r="AO391" s="1390"/>
      <c r="AP391" s="1390"/>
      <c r="AQ391" s="557"/>
      <c r="AR391" s="558"/>
      <c r="AS391" s="559"/>
      <c r="AT391" s="559"/>
      <c r="AU391" s="1390">
        <f>AU968</f>
        <v>0</v>
      </c>
      <c r="AV391" s="1390"/>
      <c r="AW391" s="1390"/>
      <c r="AX391" s="1390"/>
      <c r="AY391" s="1390">
        <f t="shared" ref="AY391" si="47">AY968</f>
        <v>0</v>
      </c>
      <c r="AZ391" s="1390"/>
      <c r="BA391" s="1390"/>
      <c r="BB391" s="1390"/>
      <c r="BC391" s="1390">
        <f t="shared" ref="BC391" si="48">BC968</f>
        <v>0</v>
      </c>
      <c r="BD391" s="1390"/>
      <c r="BE391" s="1390"/>
      <c r="BF391" s="1390"/>
      <c r="BG391" s="1390">
        <f t="shared" ref="BG391" si="49">BG968</f>
        <v>0</v>
      </c>
      <c r="BH391" s="1390"/>
      <c r="BI391" s="1390"/>
      <c r="BJ391" s="1390"/>
      <c r="BK391" s="1390">
        <f t="shared" ref="BK391" si="50">BK968</f>
        <v>0</v>
      </c>
      <c r="BL391" s="1390"/>
      <c r="BM391" s="1390"/>
      <c r="BN391" s="1390"/>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arrotondati</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Calcoli con i dati del progettista</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Fabbisogno energia di raffreddamento Valori progettista</v>
      </c>
      <c r="J404" s="607"/>
      <c r="K404" s="607"/>
      <c r="L404" s="607"/>
      <c r="X404" s="1368" t="str">
        <f>X324</f>
        <v>Primavera</v>
      </c>
      <c r="Y404" s="1368"/>
      <c r="Z404" s="1368"/>
      <c r="AB404" s="1301" t="str">
        <f>AB324</f>
        <v>Estate</v>
      </c>
      <c r="AC404" s="1301"/>
      <c r="AD404" s="1301"/>
      <c r="AF404" s="1301" t="str">
        <f>AF324</f>
        <v>Autunno</v>
      </c>
      <c r="AG404" s="1301"/>
      <c r="AH404" s="1301"/>
      <c r="AJ404" s="1301" t="str">
        <f>AJ324</f>
        <v>Inverno</v>
      </c>
      <c r="AK404" s="1301"/>
      <c r="AL404" s="1301"/>
      <c r="AN404" s="1301" t="str">
        <f>AN324</f>
        <v>Anno</v>
      </c>
      <c r="AO404" s="1301"/>
      <c r="AP404" s="1301"/>
      <c r="AQ404" s="70"/>
      <c r="AR404" s="70"/>
      <c r="AV404" s="1368" t="str">
        <f>AV324</f>
        <v>Primavera</v>
      </c>
      <c r="AW404" s="1368"/>
      <c r="AX404" s="1368"/>
      <c r="AZ404" s="1301" t="str">
        <f>AZ324</f>
        <v>Estate</v>
      </c>
      <c r="BA404" s="1301"/>
      <c r="BB404" s="1301"/>
      <c r="BD404" s="1301" t="str">
        <f>BD324</f>
        <v>Autunno</v>
      </c>
      <c r="BE404" s="1301"/>
      <c r="BF404" s="1301"/>
      <c r="BH404" s="1301" t="str">
        <f>BH324</f>
        <v>Inverno</v>
      </c>
      <c r="BI404" s="1301"/>
      <c r="BJ404" s="1301"/>
      <c r="BL404" s="1301" t="str">
        <f>BL324</f>
        <v>Anno</v>
      </c>
      <c r="BM404" s="1301"/>
      <c r="BN404" s="1301"/>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Potenza di raffreddamento</v>
      </c>
      <c r="J406" s="74"/>
      <c r="K406" s="74"/>
      <c r="L406" s="74"/>
      <c r="M406" s="74"/>
      <c r="N406" s="74"/>
      <c r="O406" s="74"/>
      <c r="P406" s="74"/>
      <c r="Q406" s="74"/>
      <c r="R406" s="74"/>
      <c r="S406" s="74"/>
      <c r="T406" s="74"/>
      <c r="U406" s="95" t="s">
        <v>83</v>
      </c>
      <c r="V406" s="74"/>
      <c r="W406" s="74"/>
      <c r="X406" s="1304">
        <f>X326</f>
        <v>0</v>
      </c>
      <c r="Y406" s="1304"/>
      <c r="Z406" s="1304"/>
      <c r="AA406" s="138"/>
      <c r="AB406" s="1304">
        <f>AB326</f>
        <v>0</v>
      </c>
      <c r="AC406" s="1304"/>
      <c r="AD406" s="1304"/>
      <c r="AE406" s="139"/>
      <c r="AF406" s="1304">
        <f>AF326</f>
        <v>0</v>
      </c>
      <c r="AG406" s="1304"/>
      <c r="AH406" s="1304"/>
      <c r="AI406" s="139"/>
      <c r="AJ406" s="1304">
        <f>AJ326</f>
        <v>0</v>
      </c>
      <c r="AK406" s="1304"/>
      <c r="AL406" s="1304"/>
      <c r="AM406" s="126"/>
      <c r="AN406" s="1303">
        <f>AVERAGE(X406:AL406)</f>
        <v>0</v>
      </c>
      <c r="AO406" s="1303"/>
      <c r="AP406" s="1303"/>
      <c r="AQ406" s="323"/>
      <c r="AR406" s="323"/>
      <c r="AS406" s="106"/>
      <c r="AT406" s="106"/>
      <c r="AU406" s="106"/>
      <c r="AV406" s="1304">
        <f>AV173</f>
        <v>0</v>
      </c>
      <c r="AW406" s="1304"/>
      <c r="AX406" s="1304"/>
      <c r="AY406" s="138"/>
      <c r="AZ406" s="1304">
        <f>AZ173</f>
        <v>0</v>
      </c>
      <c r="BA406" s="1304"/>
      <c r="BB406" s="1304"/>
      <c r="BC406" s="139"/>
      <c r="BD406" s="1304">
        <f>BD173</f>
        <v>0</v>
      </c>
      <c r="BE406" s="1304"/>
      <c r="BF406" s="1304"/>
      <c r="BG406" s="139"/>
      <c r="BH406" s="1304">
        <f>BH173</f>
        <v>0</v>
      </c>
      <c r="BI406" s="1304"/>
      <c r="BJ406" s="1304"/>
      <c r="BK406" s="126"/>
      <c r="BL406" s="1313">
        <f>AVERAGE(AV406:BJ406)</f>
        <v>0</v>
      </c>
      <c r="BM406" s="1313"/>
      <c r="BN406" s="1313"/>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Ore d'esercizio a pieno regime al giorno</v>
      </c>
      <c r="J407" s="74"/>
      <c r="K407" s="74"/>
      <c r="L407" s="74"/>
      <c r="M407" s="74"/>
      <c r="N407" s="74"/>
      <c r="O407" s="74"/>
      <c r="P407" s="74"/>
      <c r="Q407" s="74"/>
      <c r="R407" s="74"/>
      <c r="S407" s="74"/>
      <c r="T407" s="74"/>
      <c r="U407" s="95" t="s">
        <v>116</v>
      </c>
      <c r="V407" s="74"/>
      <c r="W407" s="74"/>
      <c r="X407" s="1304">
        <f>X193</f>
        <v>0</v>
      </c>
      <c r="Y407" s="1304"/>
      <c r="Z407" s="1304"/>
      <c r="AA407" s="138"/>
      <c r="AB407" s="1304">
        <f>AB193</f>
        <v>0</v>
      </c>
      <c r="AC407" s="1304"/>
      <c r="AD407" s="1304"/>
      <c r="AE407" s="139"/>
      <c r="AF407" s="1304">
        <f>AF193</f>
        <v>0</v>
      </c>
      <c r="AG407" s="1304"/>
      <c r="AH407" s="1304"/>
      <c r="AI407" s="139"/>
      <c r="AJ407" s="1304">
        <f>AJ193</f>
        <v>0</v>
      </c>
      <c r="AK407" s="1304"/>
      <c r="AL407" s="1304"/>
      <c r="AM407" s="126"/>
      <c r="AN407" s="1303">
        <f>AVERAGE(X407:AL407)</f>
        <v>0</v>
      </c>
      <c r="AO407" s="1303"/>
      <c r="AP407" s="1303"/>
      <c r="AQ407" s="152"/>
      <c r="AR407" s="152"/>
      <c r="AS407" s="106"/>
      <c r="AT407" s="106"/>
      <c r="AU407" s="106"/>
      <c r="AV407" s="1304">
        <f>AV193</f>
        <v>0</v>
      </c>
      <c r="AW407" s="1304"/>
      <c r="AX407" s="1304"/>
      <c r="AY407" s="138"/>
      <c r="AZ407" s="1304">
        <f>AZ193</f>
        <v>0</v>
      </c>
      <c r="BA407" s="1304"/>
      <c r="BB407" s="1304"/>
      <c r="BC407" s="139"/>
      <c r="BD407" s="1304">
        <f>BD193</f>
        <v>0</v>
      </c>
      <c r="BE407" s="1304"/>
      <c r="BF407" s="1304"/>
      <c r="BG407" s="139"/>
      <c r="BH407" s="1304">
        <f>BH193</f>
        <v>0</v>
      </c>
      <c r="BI407" s="1304"/>
      <c r="BJ407" s="1304"/>
      <c r="BK407" s="126"/>
      <c r="BL407" s="1303">
        <f>AVERAGE(AV407:BJ407)</f>
        <v>0</v>
      </c>
      <c r="BM407" s="1303"/>
      <c r="BN407" s="1303"/>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Ore d'esercizio a pieno regime per trimestre</v>
      </c>
      <c r="J408" s="74"/>
      <c r="K408" s="74"/>
      <c r="L408" s="74"/>
      <c r="M408" s="74"/>
      <c r="N408" s="74"/>
      <c r="O408" s="74"/>
      <c r="P408" s="74"/>
      <c r="Q408" s="74"/>
      <c r="R408" s="74"/>
      <c r="S408" s="74"/>
      <c r="T408" s="74"/>
      <c r="U408" s="95" t="s">
        <v>116</v>
      </c>
      <c r="V408" s="74"/>
      <c r="W408" s="74"/>
      <c r="X408" s="1300">
        <f>X664*X407</f>
        <v>0</v>
      </c>
      <c r="Y408" s="1300"/>
      <c r="Z408" s="1300"/>
      <c r="AA408" s="175"/>
      <c r="AB408" s="1300">
        <f>AB664*AB407</f>
        <v>0</v>
      </c>
      <c r="AC408" s="1300"/>
      <c r="AD408" s="1300"/>
      <c r="AE408" s="176"/>
      <c r="AF408" s="1300">
        <f>AF664*AF407</f>
        <v>0</v>
      </c>
      <c r="AG408" s="1300"/>
      <c r="AH408" s="1300"/>
      <c r="AI408" s="176"/>
      <c r="AJ408" s="1300">
        <f>AJ664*AJ407</f>
        <v>0</v>
      </c>
      <c r="AK408" s="1300"/>
      <c r="AL408" s="1300"/>
      <c r="AM408" s="177"/>
      <c r="AN408" s="1307">
        <f>SUM(X408:AL408)</f>
        <v>0</v>
      </c>
      <c r="AO408" s="1307"/>
      <c r="AP408" s="1307"/>
      <c r="AQ408" s="322"/>
      <c r="AR408" s="322"/>
      <c r="AS408" s="106"/>
      <c r="AT408" s="106"/>
      <c r="AU408" s="106"/>
      <c r="AV408" s="1300">
        <f>AV664*AV407</f>
        <v>0</v>
      </c>
      <c r="AW408" s="1300"/>
      <c r="AX408" s="1300"/>
      <c r="AY408" s="175"/>
      <c r="AZ408" s="1300">
        <f>AZ664*AZ407</f>
        <v>0</v>
      </c>
      <c r="BA408" s="1300"/>
      <c r="BB408" s="1300"/>
      <c r="BC408" s="176"/>
      <c r="BD408" s="1300">
        <f>BD664*BD407</f>
        <v>0</v>
      </c>
      <c r="BE408" s="1300"/>
      <c r="BF408" s="1300"/>
      <c r="BG408" s="176"/>
      <c r="BH408" s="1300">
        <f>BH664*BH407</f>
        <v>0</v>
      </c>
      <c r="BI408" s="1300"/>
      <c r="BJ408" s="1300"/>
      <c r="BK408" s="177"/>
      <c r="BL408" s="1307">
        <f>SUM(AV408:BJ408)</f>
        <v>0</v>
      </c>
      <c r="BM408" s="1307"/>
      <c r="BN408" s="1307"/>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Fabbisogno di freddo</v>
      </c>
      <c r="J409" s="155"/>
      <c r="K409" s="155"/>
      <c r="L409" s="155"/>
      <c r="M409" s="155"/>
      <c r="N409" s="155"/>
      <c r="O409" s="155"/>
      <c r="P409" s="155"/>
      <c r="Q409" s="155"/>
      <c r="R409" s="155"/>
      <c r="S409" s="155"/>
      <c r="T409" s="155"/>
      <c r="U409" s="155" t="s">
        <v>176</v>
      </c>
      <c r="V409" s="155"/>
      <c r="W409" s="1312">
        <f>IF(X406*X408&gt;10000,ROUND(X406*X408,-3),ROUND(X406*X408,-2))</f>
        <v>0</v>
      </c>
      <c r="X409" s="1312"/>
      <c r="Y409" s="1312"/>
      <c r="Z409" s="1312"/>
      <c r="AA409" s="1312">
        <f>IF(AB406*AB408&gt;10000,ROUND(AB406*AB408,-3),ROUND(AB406*AB408,-2))</f>
        <v>0</v>
      </c>
      <c r="AB409" s="1312"/>
      <c r="AC409" s="1312"/>
      <c r="AD409" s="1312"/>
      <c r="AE409" s="1312">
        <f>IF(AF406*AF408&gt;10000,ROUND(AF406*AF408,-3),ROUND(AF406*AF408,-2))</f>
        <v>0</v>
      </c>
      <c r="AF409" s="1312"/>
      <c r="AG409" s="1312"/>
      <c r="AH409" s="1312"/>
      <c r="AI409" s="1312">
        <f>IF(AJ406*AJ408&gt;10000,ROUND(AJ406*AJ408,-3),ROUND(AJ406*AJ408,-2))</f>
        <v>0</v>
      </c>
      <c r="AJ409" s="1312"/>
      <c r="AK409" s="1312"/>
      <c r="AL409" s="1312"/>
      <c r="AM409" s="1302">
        <f>SUM(W409:AL409)</f>
        <v>0</v>
      </c>
      <c r="AN409" s="1302"/>
      <c r="AO409" s="1302"/>
      <c r="AP409" s="1302"/>
      <c r="AQ409" s="1115"/>
      <c r="AR409" s="322"/>
      <c r="AS409" s="137"/>
      <c r="AT409" s="137"/>
      <c r="AU409" s="1306">
        <f>IF(AV406*AV408&gt;10000,ROUND(AV406*AV408,-3),ROUND(AV406*AV408,-2))</f>
        <v>0</v>
      </c>
      <c r="AV409" s="1306"/>
      <c r="AW409" s="1306"/>
      <c r="AX409" s="1306"/>
      <c r="AY409" s="1306">
        <f>IF(AZ406*AZ408&gt;10000,ROUND(AZ406*AZ408,-3),ROUND(AZ406*AZ408,-2))</f>
        <v>0</v>
      </c>
      <c r="AZ409" s="1306"/>
      <c r="BA409" s="1306"/>
      <c r="BB409" s="1306"/>
      <c r="BC409" s="1306">
        <f>IF(BD406*BD408&gt;10000,ROUND(BD406*BD408,-3),ROUND(BD406*BD408,-2))</f>
        <v>0</v>
      </c>
      <c r="BD409" s="1306"/>
      <c r="BE409" s="1306"/>
      <c r="BF409" s="1306"/>
      <c r="BG409" s="1306">
        <f>IF(BH406*BH408&gt;10000,ROUND(BH406*BH408,-3),ROUND(BH406*BH408,-2))</f>
        <v>0</v>
      </c>
      <c r="BH409" s="1306"/>
      <c r="BI409" s="1306"/>
      <c r="BJ409" s="1306"/>
      <c r="BK409" s="1307">
        <f>SUM(AU409:BJ409)</f>
        <v>0</v>
      </c>
      <c r="BL409" s="1307"/>
      <c r="BM409" s="1307"/>
      <c r="BN409" s="1307"/>
      <c r="BO409" s="121"/>
    </row>
    <row r="410" spans="5:124" s="124" customFormat="1" ht="17" customHeight="1" outlineLevel="1" x14ac:dyDescent="0.15">
      <c r="E410" s="216"/>
      <c r="G410" s="123"/>
      <c r="H410" s="361"/>
      <c r="I410" s="395"/>
      <c r="J410" s="499" t="str">
        <f>J330</f>
        <v>Con free-cooling</v>
      </c>
      <c r="K410" s="115"/>
      <c r="L410" s="115"/>
      <c r="M410" s="115"/>
      <c r="N410" s="115"/>
      <c r="O410" s="115"/>
      <c r="P410" s="115"/>
      <c r="Q410" s="115"/>
      <c r="R410" s="115"/>
      <c r="S410" s="115"/>
      <c r="T410" s="115"/>
      <c r="U410" s="151" t="s">
        <v>176</v>
      </c>
      <c r="V410" s="115"/>
      <c r="W410" s="1306"/>
      <c r="X410" s="1306"/>
      <c r="Y410" s="1306"/>
      <c r="Z410" s="1306"/>
      <c r="AA410" s="1306"/>
      <c r="AB410" s="1306"/>
      <c r="AC410" s="1306"/>
      <c r="AD410" s="1306"/>
      <c r="AE410" s="1306"/>
      <c r="AF410" s="1306"/>
      <c r="AG410" s="1306"/>
      <c r="AH410" s="1306"/>
      <c r="AI410" s="1306"/>
      <c r="AJ410" s="1306"/>
      <c r="AK410" s="1306"/>
      <c r="AL410" s="1306"/>
      <c r="AM410" s="1310">
        <f>AE884</f>
        <v>0</v>
      </c>
      <c r="AN410" s="1310"/>
      <c r="AO410" s="1310"/>
      <c r="AP410" s="1310"/>
      <c r="AQ410" s="322"/>
      <c r="AR410" s="322"/>
      <c r="AS410" s="137"/>
      <c r="AT410" s="137"/>
      <c r="AU410" s="1306"/>
      <c r="AV410" s="1306"/>
      <c r="AW410" s="1306"/>
      <c r="AX410" s="1306"/>
      <c r="AY410" s="1306"/>
      <c r="AZ410" s="1306"/>
      <c r="BA410" s="1306"/>
      <c r="BB410" s="1306"/>
      <c r="BC410" s="1306"/>
      <c r="BD410" s="1306"/>
      <c r="BE410" s="1306"/>
      <c r="BF410" s="1306"/>
      <c r="BG410" s="1306"/>
      <c r="BH410" s="1306"/>
      <c r="BI410" s="1306"/>
      <c r="BJ410" s="1306"/>
      <c r="BK410" s="1310">
        <f>BC884</f>
        <v>0</v>
      </c>
      <c r="BL410" s="1310"/>
      <c r="BM410" s="1310"/>
      <c r="BN410" s="1310"/>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con la macchina del freddo</v>
      </c>
      <c r="K411" s="115"/>
      <c r="L411" s="115"/>
      <c r="M411" s="115"/>
      <c r="N411" s="115"/>
      <c r="O411" s="115"/>
      <c r="P411" s="115"/>
      <c r="Q411" s="115"/>
      <c r="R411" s="115"/>
      <c r="S411" s="115"/>
      <c r="T411" s="115"/>
      <c r="U411" s="151" t="s">
        <v>176</v>
      </c>
      <c r="V411" s="115"/>
      <c r="W411" s="1306"/>
      <c r="X411" s="1306"/>
      <c r="Y411" s="1306"/>
      <c r="Z411" s="1306"/>
      <c r="AA411" s="1306"/>
      <c r="AB411" s="1306"/>
      <c r="AC411" s="1306"/>
      <c r="AD411" s="1306"/>
      <c r="AE411" s="1306"/>
      <c r="AF411" s="1306"/>
      <c r="AG411" s="1306"/>
      <c r="AH411" s="1306"/>
      <c r="AI411" s="1306"/>
      <c r="AJ411" s="1306"/>
      <c r="AK411" s="1306"/>
      <c r="AL411" s="1306"/>
      <c r="AM411" s="1302">
        <f>AM409-AM410</f>
        <v>0</v>
      </c>
      <c r="AN411" s="1302"/>
      <c r="AO411" s="1302"/>
      <c r="AP411" s="1302"/>
      <c r="AQ411" s="322"/>
      <c r="AR411" s="322"/>
      <c r="AS411" s="137"/>
      <c r="AT411" s="137"/>
      <c r="AU411" s="1306"/>
      <c r="AV411" s="1306"/>
      <c r="AW411" s="1306"/>
      <c r="AX411" s="1306"/>
      <c r="AY411" s="1306"/>
      <c r="AZ411" s="1306"/>
      <c r="BA411" s="1306"/>
      <c r="BB411" s="1306"/>
      <c r="BC411" s="1306"/>
      <c r="BD411" s="1306"/>
      <c r="BE411" s="1306"/>
      <c r="BF411" s="1306"/>
      <c r="BG411" s="1306"/>
      <c r="BH411" s="1306"/>
      <c r="BI411" s="1306"/>
      <c r="BJ411" s="1306"/>
      <c r="BK411" s="1302">
        <f>BK409-BK410</f>
        <v>0</v>
      </c>
      <c r="BL411" s="1302"/>
      <c r="BM411" s="1302"/>
      <c r="BN411" s="1302"/>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71"/>
      <c r="Y412" s="1471"/>
      <c r="Z412" s="1471"/>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Consumo elettricità compressore</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Potenza di raff. media compressore</v>
      </c>
      <c r="J416" s="722"/>
      <c r="K416" s="722"/>
      <c r="L416" s="722"/>
      <c r="M416" s="722"/>
      <c r="N416" s="722"/>
      <c r="O416" s="722"/>
      <c r="P416" s="722"/>
      <c r="Q416" s="722"/>
      <c r="R416" s="722"/>
      <c r="S416" s="722"/>
      <c r="T416" s="722"/>
      <c r="U416" s="723" t="s">
        <v>83</v>
      </c>
      <c r="V416" s="722"/>
      <c r="W416" s="722"/>
      <c r="X416" s="1311">
        <f>X173</f>
        <v>0</v>
      </c>
      <c r="Y416" s="1311"/>
      <c r="Z416" s="1311"/>
      <c r="AA416" s="724"/>
      <c r="AB416" s="1311">
        <f>AB173</f>
        <v>0</v>
      </c>
      <c r="AC416" s="1311"/>
      <c r="AD416" s="1311"/>
      <c r="AE416" s="725"/>
      <c r="AF416" s="1311">
        <f>AF173</f>
        <v>0</v>
      </c>
      <c r="AG416" s="1311"/>
      <c r="AH416" s="1311"/>
      <c r="AI416" s="725"/>
      <c r="AJ416" s="1311">
        <f>AJ173</f>
        <v>0</v>
      </c>
      <c r="AK416" s="1311"/>
      <c r="AL416" s="1311"/>
      <c r="AM416" s="726"/>
      <c r="AN416" s="1309">
        <f>AVERAGE(X416:AL416)</f>
        <v>0</v>
      </c>
      <c r="AO416" s="1309"/>
      <c r="AP416" s="1309"/>
      <c r="AQ416" s="727"/>
      <c r="AR416" s="727"/>
      <c r="AS416" s="728"/>
      <c r="AT416" s="728"/>
      <c r="AU416" s="728"/>
      <c r="AV416" s="1311">
        <f>AV173</f>
        <v>0</v>
      </c>
      <c r="AW416" s="1311"/>
      <c r="AX416" s="1311"/>
      <c r="AY416" s="724"/>
      <c r="AZ416" s="1311">
        <f>AZ173</f>
        <v>0</v>
      </c>
      <c r="BA416" s="1311"/>
      <c r="BB416" s="1311"/>
      <c r="BC416" s="725"/>
      <c r="BD416" s="1311">
        <f>BD173</f>
        <v>0</v>
      </c>
      <c r="BE416" s="1311"/>
      <c r="BF416" s="1311"/>
      <c r="BG416" s="725"/>
      <c r="BH416" s="1311">
        <f>BH173</f>
        <v>0</v>
      </c>
      <c r="BI416" s="1311"/>
      <c r="BJ416" s="1311"/>
      <c r="BK416" s="726"/>
      <c r="BL416" s="1309">
        <f>AVERAGE(AV416:BJ416)</f>
        <v>0</v>
      </c>
      <c r="BM416" s="1309"/>
      <c r="BN416" s="1309"/>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Ore d'esercizio a pieno regime per trimestre</v>
      </c>
      <c r="J417" s="74"/>
      <c r="K417" s="74"/>
      <c r="L417" s="74"/>
      <c r="M417" s="74"/>
      <c r="N417" s="74"/>
      <c r="O417" s="74"/>
      <c r="P417" s="74"/>
      <c r="Q417" s="74"/>
      <c r="R417" s="74"/>
      <c r="S417" s="74"/>
      <c r="T417" s="74"/>
      <c r="U417" s="95" t="s">
        <v>116</v>
      </c>
      <c r="V417" s="74"/>
      <c r="W417" s="74"/>
      <c r="X417" s="1300">
        <f>X408</f>
        <v>0</v>
      </c>
      <c r="Y417" s="1300"/>
      <c r="Z417" s="1300"/>
      <c r="AA417" s="175"/>
      <c r="AB417" s="1300">
        <f>AB408</f>
        <v>0</v>
      </c>
      <c r="AC417" s="1300"/>
      <c r="AD417" s="1300"/>
      <c r="AE417" s="176"/>
      <c r="AF417" s="1300">
        <f>AF408</f>
        <v>0</v>
      </c>
      <c r="AG417" s="1300"/>
      <c r="AH417" s="1300"/>
      <c r="AI417" s="176"/>
      <c r="AJ417" s="1300">
        <f>AJ408</f>
        <v>0</v>
      </c>
      <c r="AK417" s="1300"/>
      <c r="AL417" s="1300"/>
      <c r="AM417" s="177"/>
      <c r="AN417" s="1307">
        <f>SUM(X417:AL417)</f>
        <v>0</v>
      </c>
      <c r="AO417" s="1307"/>
      <c r="AP417" s="1307"/>
      <c r="AQ417" s="322"/>
      <c r="AR417" s="322"/>
      <c r="AS417" s="177"/>
      <c r="AT417" s="177"/>
      <c r="AU417" s="177"/>
      <c r="AV417" s="1300">
        <f>AV408</f>
        <v>0</v>
      </c>
      <c r="AW417" s="1300"/>
      <c r="AX417" s="1300"/>
      <c r="AY417" s="175"/>
      <c r="AZ417" s="1300">
        <f>AZ408</f>
        <v>0</v>
      </c>
      <c r="BA417" s="1300"/>
      <c r="BB417" s="1300"/>
      <c r="BC417" s="176"/>
      <c r="BD417" s="1300">
        <f>BD408</f>
        <v>0</v>
      </c>
      <c r="BE417" s="1300"/>
      <c r="BF417" s="1300"/>
      <c r="BG417" s="176"/>
      <c r="BH417" s="1300">
        <f>BH408</f>
        <v>0</v>
      </c>
      <c r="BI417" s="1300"/>
      <c r="BJ417" s="1300"/>
      <c r="BK417" s="126"/>
      <c r="BL417" s="1307">
        <f>SUM(AV417:BJ417)</f>
        <v>0</v>
      </c>
      <c r="BM417" s="1307"/>
      <c r="BN417" s="1307"/>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Potenza elettrica assorbita</v>
      </c>
      <c r="J419" s="74"/>
      <c r="K419" s="74"/>
      <c r="L419" s="74"/>
      <c r="M419" s="74"/>
      <c r="N419" s="74"/>
      <c r="O419" s="74"/>
      <c r="P419" s="74"/>
      <c r="Q419" s="74"/>
      <c r="R419" s="74"/>
      <c r="S419" s="74"/>
      <c r="T419" s="74"/>
      <c r="U419" s="95" t="s">
        <v>83</v>
      </c>
      <c r="V419" s="74"/>
      <c r="W419" s="74"/>
      <c r="X419" s="1308">
        <f>X161</f>
        <v>0</v>
      </c>
      <c r="Y419" s="1308"/>
      <c r="Z419" s="1308"/>
      <c r="AA419" s="106"/>
      <c r="AB419" s="1308">
        <f>AB161</f>
        <v>0</v>
      </c>
      <c r="AC419" s="1308"/>
      <c r="AD419" s="1308"/>
      <c r="AE419"/>
      <c r="AF419" s="1308">
        <f>AF161</f>
        <v>0</v>
      </c>
      <c r="AG419" s="1308"/>
      <c r="AH419" s="1308"/>
      <c r="AI419"/>
      <c r="AJ419" s="1308">
        <f>AJ161</f>
        <v>0</v>
      </c>
      <c r="AK419" s="1308"/>
      <c r="AL419" s="1308"/>
      <c r="AM419" s="106"/>
      <c r="AN419" s="106"/>
      <c r="AO419" s="106"/>
      <c r="AP419" s="106"/>
      <c r="AQ419" s="106"/>
      <c r="AR419" s="106"/>
      <c r="AS419" s="106"/>
      <c r="AT419" s="106"/>
      <c r="AU419" s="106"/>
      <c r="AV419" s="1308">
        <f>AV161</f>
        <v>0</v>
      </c>
      <c r="AW419" s="1308"/>
      <c r="AX419" s="1308"/>
      <c r="AY419" s="106"/>
      <c r="AZ419" s="1308">
        <f>AZ161</f>
        <v>0</v>
      </c>
      <c r="BA419" s="1308"/>
      <c r="BB419" s="1308"/>
      <c r="BC419"/>
      <c r="BD419" s="1308">
        <f>BD161</f>
        <v>0</v>
      </c>
      <c r="BE419" s="1308"/>
      <c r="BF419" s="1308"/>
      <c r="BG419"/>
      <c r="BH419" s="1308">
        <f>BH161</f>
        <v>0</v>
      </c>
      <c r="BI419" s="1308"/>
      <c r="BJ419" s="1308"/>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Miglioramento con funz. carico parziale</v>
      </c>
      <c r="J420" s="74"/>
      <c r="K420" s="74"/>
      <c r="L420" s="74"/>
      <c r="M420" s="74"/>
      <c r="N420" s="74"/>
      <c r="O420" s="74"/>
      <c r="P420" s="74"/>
      <c r="Q420" s="74"/>
      <c r="R420" s="74"/>
      <c r="S420" s="74"/>
      <c r="T420" s="74"/>
      <c r="U420" s="95" t="s">
        <v>28</v>
      </c>
      <c r="V420" s="74"/>
      <c r="W420" s="74"/>
      <c r="X420" s="1290">
        <f>AN705</f>
        <v>0</v>
      </c>
      <c r="Y420" s="1290"/>
      <c r="Z420" s="1290"/>
      <c r="AA420" s="106"/>
      <c r="AB420" s="1290">
        <f>X420</f>
        <v>0</v>
      </c>
      <c r="AC420" s="1290"/>
      <c r="AD420" s="1290"/>
      <c r="AE420"/>
      <c r="AF420" s="1290">
        <f>AB420</f>
        <v>0</v>
      </c>
      <c r="AG420" s="1290"/>
      <c r="AH420" s="1290"/>
      <c r="AI420"/>
      <c r="AJ420" s="1290">
        <f>AF420</f>
        <v>0</v>
      </c>
      <c r="AK420" s="1290"/>
      <c r="AL420" s="1290"/>
      <c r="AM420" s="106"/>
      <c r="AN420" s="106"/>
      <c r="AO420" s="106"/>
      <c r="AP420" s="106"/>
      <c r="AQ420" s="106"/>
      <c r="AR420" s="106"/>
      <c r="AS420" s="106"/>
      <c r="AT420" s="106"/>
      <c r="AU420" s="106"/>
      <c r="AV420" s="1290">
        <f>BL705</f>
        <v>0</v>
      </c>
      <c r="AW420" s="1290"/>
      <c r="AX420" s="1290"/>
      <c r="AY420" s="106"/>
      <c r="AZ420" s="1290">
        <f>AV420</f>
        <v>0</v>
      </c>
      <c r="BA420" s="1290"/>
      <c r="BB420" s="1290"/>
      <c r="BC420"/>
      <c r="BD420" s="1290">
        <f>AZ420</f>
        <v>0</v>
      </c>
      <c r="BE420" s="1290"/>
      <c r="BF420" s="1290"/>
      <c r="BG420"/>
      <c r="BH420" s="1290">
        <f>BD420</f>
        <v>0</v>
      </c>
      <c r="BI420" s="1290"/>
      <c r="BJ420" s="1290"/>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Impatto comando</v>
      </c>
      <c r="J421" s="74"/>
      <c r="K421" s="74"/>
      <c r="L421" s="74"/>
      <c r="M421" s="74"/>
      <c r="N421" s="74"/>
      <c r="O421" s="74"/>
      <c r="P421" s="74"/>
      <c r="Q421" s="74"/>
      <c r="R421" s="74"/>
      <c r="S421" s="74"/>
      <c r="T421" s="74"/>
      <c r="U421" s="95" t="s">
        <v>28</v>
      </c>
      <c r="V421" s="74"/>
      <c r="W421" s="74"/>
      <c r="X421" s="1314">
        <f>AN685</f>
        <v>0.25</v>
      </c>
      <c r="Y421" s="1314"/>
      <c r="Z421" s="1314"/>
      <c r="AA421" s="106"/>
      <c r="AB421" s="1314">
        <f>X421</f>
        <v>0.25</v>
      </c>
      <c r="AC421" s="1314"/>
      <c r="AD421" s="1314"/>
      <c r="AE421"/>
      <c r="AF421" s="1314">
        <f>X421</f>
        <v>0.25</v>
      </c>
      <c r="AG421" s="1314"/>
      <c r="AH421" s="1314"/>
      <c r="AI421"/>
      <c r="AJ421" s="1314">
        <f>X421</f>
        <v>0.25</v>
      </c>
      <c r="AK421" s="1314"/>
      <c r="AL421" s="1314"/>
      <c r="AM421" s="106"/>
      <c r="AN421" s="106"/>
      <c r="AO421" s="106"/>
      <c r="AP421" s="106"/>
      <c r="AQ421" s="106"/>
      <c r="AR421" s="106"/>
      <c r="AS421" s="106"/>
      <c r="AT421" s="106"/>
      <c r="AU421" s="106"/>
      <c r="AV421" s="1314">
        <f>BL685</f>
        <v>0.25</v>
      </c>
      <c r="AW421" s="1314"/>
      <c r="AX421" s="1314"/>
      <c r="AY421" s="106"/>
      <c r="AZ421" s="1314">
        <f>AV421</f>
        <v>0.25</v>
      </c>
      <c r="BA421" s="1314"/>
      <c r="BB421" s="1314"/>
      <c r="BC421"/>
      <c r="BD421" s="1314">
        <f>AV421</f>
        <v>0.25</v>
      </c>
      <c r="BE421" s="1314"/>
      <c r="BF421" s="1314"/>
      <c r="BG421"/>
      <c r="BH421" s="1314">
        <f>AV421</f>
        <v>0.25</v>
      </c>
      <c r="BI421" s="1314"/>
      <c r="BJ421" s="1314"/>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Potenza elettrica assorbita (effettiva)</v>
      </c>
      <c r="J422" s="74"/>
      <c r="K422" s="74"/>
      <c r="L422" s="74"/>
      <c r="M422" s="74"/>
      <c r="N422" s="74"/>
      <c r="O422" s="74"/>
      <c r="P422" s="74"/>
      <c r="Q422" s="74"/>
      <c r="R422" s="74"/>
      <c r="S422" s="74"/>
      <c r="T422" s="74"/>
      <c r="U422" s="95" t="s">
        <v>83</v>
      </c>
      <c r="V422" s="74"/>
      <c r="W422" s="74"/>
      <c r="X422" s="1308">
        <f>X419/(1+X420)*(1+X421)</f>
        <v>0</v>
      </c>
      <c r="Y422" s="1308"/>
      <c r="Z422" s="1308"/>
      <c r="AA422" s="106"/>
      <c r="AB422" s="1308">
        <f>AB419/(1+AB420)*(1+AB421)</f>
        <v>0</v>
      </c>
      <c r="AC422" s="1308"/>
      <c r="AD422" s="1308"/>
      <c r="AE422"/>
      <c r="AF422" s="1308">
        <f>AF419/(1+AF420)*(1+AF421)</f>
        <v>0</v>
      </c>
      <c r="AG422" s="1308"/>
      <c r="AH422" s="1308"/>
      <c r="AI422"/>
      <c r="AJ422" s="1308">
        <f>AJ419/(1+AJ420)*(1+AJ421)</f>
        <v>0</v>
      </c>
      <c r="AK422" s="1308"/>
      <c r="AL422" s="1308"/>
      <c r="AM422" s="106"/>
      <c r="AN422" s="106"/>
      <c r="AO422" s="106"/>
      <c r="AP422" s="106"/>
      <c r="AQ422" s="106"/>
      <c r="AR422" s="106"/>
      <c r="AS422" s="106"/>
      <c r="AT422" s="106"/>
      <c r="AU422" s="106"/>
      <c r="AV422" s="1308">
        <f>AV419/(1+AV420)*(1+AV421)</f>
        <v>0</v>
      </c>
      <c r="AW422" s="1308"/>
      <c r="AX422" s="1308"/>
      <c r="AY422" s="106"/>
      <c r="AZ422" s="1308">
        <f>AZ419/(1+AZ420)*(1+AZ421)</f>
        <v>0</v>
      </c>
      <c r="BA422" s="1308"/>
      <c r="BB422" s="1308"/>
      <c r="BC422"/>
      <c r="BD422" s="1308">
        <f>BD419/(1+BD420)*(1+BD421)</f>
        <v>0</v>
      </c>
      <c r="BE422" s="1308"/>
      <c r="BF422" s="1308"/>
      <c r="BG422"/>
      <c r="BH422" s="1308">
        <f>BH419/(1+BH420)*(1+BH421)</f>
        <v>0</v>
      </c>
      <c r="BI422" s="1308"/>
      <c r="BJ422" s="1308"/>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Consumo di corrente del compressore</v>
      </c>
      <c r="J423" s="155"/>
      <c r="K423" s="155"/>
      <c r="L423" s="155"/>
      <c r="M423" s="155"/>
      <c r="N423" s="155"/>
      <c r="O423" s="155"/>
      <c r="P423" s="155"/>
      <c r="Q423" s="155"/>
      <c r="R423" s="155"/>
      <c r="S423" s="155"/>
      <c r="T423" s="155"/>
      <c r="U423" s="155" t="s">
        <v>20</v>
      </c>
      <c r="V423" s="155"/>
      <c r="W423" s="1312">
        <f>IF(X417*X422&gt;10000,ROUND(X417*X422,-3),ROUND(X417*X422,-2))</f>
        <v>0</v>
      </c>
      <c r="X423" s="1312"/>
      <c r="Y423" s="1312"/>
      <c r="Z423" s="1312"/>
      <c r="AA423" s="1312">
        <f>IF(AB417*AB422&gt;10000,ROUND(AB417*AB422,-3),ROUND(AB417*AB422,-2))</f>
        <v>0</v>
      </c>
      <c r="AB423" s="1312"/>
      <c r="AC423" s="1312"/>
      <c r="AD423" s="1312"/>
      <c r="AE423" s="1312">
        <f>IF(AF417*AF422&gt;10000,ROUND(AF417*AF422,-3),ROUND(AF417*AF422,-2))</f>
        <v>0</v>
      </c>
      <c r="AF423" s="1312"/>
      <c r="AG423" s="1312"/>
      <c r="AH423" s="1312"/>
      <c r="AI423" s="1312">
        <f>IF(AJ417*AJ422&gt;10000,ROUND(AJ417*AJ422,-3),ROUND(AJ417*AJ422,-2))</f>
        <v>0</v>
      </c>
      <c r="AJ423" s="1312"/>
      <c r="AK423" s="1312"/>
      <c r="AL423" s="1312"/>
      <c r="AM423" s="1302">
        <f>SUM(W423:AL423)</f>
        <v>0</v>
      </c>
      <c r="AN423" s="1302"/>
      <c r="AO423" s="1302"/>
      <c r="AP423" s="1302"/>
      <c r="AQ423" s="1115"/>
      <c r="AR423" s="322"/>
      <c r="AS423" s="137"/>
      <c r="AT423" s="137"/>
      <c r="AU423" s="1306">
        <f>IF(AV417*AV422&gt;10000,ROUND(AV417*AV422,-3),ROUND(AV417*AV422,-2))</f>
        <v>0</v>
      </c>
      <c r="AV423" s="1306"/>
      <c r="AW423" s="1306"/>
      <c r="AX423" s="1306"/>
      <c r="AY423" s="1306">
        <f>IF(AZ417*AZ422&gt;10000,ROUND(AZ417*AZ422,-3),ROUND(AZ417*AZ422,-2))</f>
        <v>0</v>
      </c>
      <c r="AZ423" s="1306"/>
      <c r="BA423" s="1306"/>
      <c r="BB423" s="1306"/>
      <c r="BC423" s="1306">
        <f>IF(BD417*BD422&gt;10000,ROUND(BD417*BD422,-3),ROUND(BD417*BD422,-2))</f>
        <v>0</v>
      </c>
      <c r="BD423" s="1306"/>
      <c r="BE423" s="1306"/>
      <c r="BF423" s="1306"/>
      <c r="BG423" s="1306">
        <f>IF(BH417*BH422&gt;10000,ROUND(BH417*BH422,-3),ROUND(BH417*BH422,-2))</f>
        <v>0</v>
      </c>
      <c r="BH423" s="1306"/>
      <c r="BI423" s="1306"/>
      <c r="BJ423" s="1306"/>
      <c r="BK423" s="1307">
        <f>SUM(AU423:BJ423)</f>
        <v>0</v>
      </c>
      <c r="BL423" s="1307"/>
      <c r="BM423" s="1307"/>
      <c r="BN423" s="1307"/>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Riduzione grazie al free-cooling</v>
      </c>
      <c r="K424" s="115"/>
      <c r="L424" s="115"/>
      <c r="M424" s="115"/>
      <c r="N424" s="115"/>
      <c r="O424" s="115"/>
      <c r="P424" s="115"/>
      <c r="Q424" s="115"/>
      <c r="R424" s="115"/>
      <c r="S424" s="115"/>
      <c r="T424" s="115"/>
      <c r="U424" s="498" t="s">
        <v>20</v>
      </c>
      <c r="V424" s="499"/>
      <c r="W424" s="1300"/>
      <c r="X424" s="1300"/>
      <c r="Y424" s="1300"/>
      <c r="Z424" s="1300"/>
      <c r="AA424" s="1300"/>
      <c r="AB424" s="1300"/>
      <c r="AC424" s="1300"/>
      <c r="AD424" s="1300"/>
      <c r="AE424" s="1300"/>
      <c r="AF424" s="1300"/>
      <c r="AG424" s="1300"/>
      <c r="AH424" s="1300"/>
      <c r="AI424" s="1300"/>
      <c r="AJ424" s="1300"/>
      <c r="AK424" s="1300"/>
      <c r="AL424" s="1300"/>
      <c r="AM424" s="1345" t="str">
        <f>IF(AE878=0,"--",-AE878)</f>
        <v>--</v>
      </c>
      <c r="AN424" s="1345"/>
      <c r="AO424" s="1345"/>
      <c r="AP424" s="1345"/>
      <c r="AQ424" s="322"/>
      <c r="AR424" s="322"/>
      <c r="AS424" s="137"/>
      <c r="AT424" s="137"/>
      <c r="AU424" s="1306"/>
      <c r="AV424" s="1306"/>
      <c r="AW424" s="1306"/>
      <c r="AX424" s="1306"/>
      <c r="AY424" s="1306"/>
      <c r="AZ424" s="1306"/>
      <c r="BA424" s="1306"/>
      <c r="BB424" s="1306"/>
      <c r="BC424" s="1306"/>
      <c r="BD424" s="1306"/>
      <c r="BE424" s="1306"/>
      <c r="BF424" s="1306"/>
      <c r="BG424" s="1306"/>
      <c r="BH424" s="1306"/>
      <c r="BI424" s="1306"/>
      <c r="BJ424" s="1306"/>
      <c r="BK424" s="1345" t="str">
        <f>IF(BC878=0,"--",-BC878)</f>
        <v>--</v>
      </c>
      <c r="BL424" s="1345"/>
      <c r="BM424" s="1345"/>
      <c r="BN424" s="1345"/>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Maggior consumo recupero del calore</v>
      </c>
      <c r="K425" s="115"/>
      <c r="L425" s="115"/>
      <c r="M425" s="115"/>
      <c r="N425" s="115"/>
      <c r="O425" s="115"/>
      <c r="P425" s="115"/>
      <c r="Q425" s="115"/>
      <c r="R425" s="115"/>
      <c r="S425" s="115"/>
      <c r="T425" s="115"/>
      <c r="U425" s="498" t="s">
        <v>20</v>
      </c>
      <c r="V425" s="499"/>
      <c r="W425" s="1402"/>
      <c r="X425" s="1402"/>
      <c r="Y425" s="1402"/>
      <c r="Z425" s="1402"/>
      <c r="AA425" s="1402"/>
      <c r="AB425" s="1402"/>
      <c r="AC425" s="1402"/>
      <c r="AD425" s="1402"/>
      <c r="AE425" s="1402"/>
      <c r="AF425" s="1402"/>
      <c r="AG425" s="1402"/>
      <c r="AH425" s="1402"/>
      <c r="AI425" s="1402"/>
      <c r="AJ425" s="1402"/>
      <c r="AK425" s="1402"/>
      <c r="AL425" s="1402"/>
      <c r="AM425" s="1300" t="str">
        <f>IF(AM1006=0,"--",AM1006)</f>
        <v>--</v>
      </c>
      <c r="AN425" s="1300"/>
      <c r="AO425" s="1300"/>
      <c r="AP425" s="1300"/>
      <c r="AQ425" s="322"/>
      <c r="AR425" s="322"/>
      <c r="AS425" s="137"/>
      <c r="AT425" s="137"/>
      <c r="AU425" s="1305"/>
      <c r="AV425" s="1305"/>
      <c r="AW425" s="1305"/>
      <c r="AX425" s="1305"/>
      <c r="AY425" s="1305"/>
      <c r="AZ425" s="1305"/>
      <c r="BA425" s="1305"/>
      <c r="BB425" s="1305"/>
      <c r="BC425" s="1305"/>
      <c r="BD425" s="1305"/>
      <c r="BE425" s="1305"/>
      <c r="BF425" s="1305"/>
      <c r="BG425" s="1305"/>
      <c r="BH425" s="1305"/>
      <c r="BI425" s="1305"/>
      <c r="BJ425" s="1305"/>
      <c r="BK425" s="1300" t="str">
        <f>IF(BK1006=0,"--",BK1006)</f>
        <v>--</v>
      </c>
      <c r="BL425" s="1300"/>
      <c r="BM425" s="1300"/>
      <c r="BN425" s="1300"/>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Consumo di corrente del compressore</v>
      </c>
      <c r="K426" s="115"/>
      <c r="L426" s="115"/>
      <c r="M426" s="115"/>
      <c r="N426" s="115"/>
      <c r="O426" s="115"/>
      <c r="P426" s="115"/>
      <c r="Q426" s="115"/>
      <c r="R426" s="115"/>
      <c r="S426" s="115"/>
      <c r="T426" s="115"/>
      <c r="U426" s="151" t="s">
        <v>20</v>
      </c>
      <c r="V426" s="115"/>
      <c r="W426" s="1306"/>
      <c r="X426" s="1306"/>
      <c r="Y426" s="1306"/>
      <c r="Z426" s="1306"/>
      <c r="AA426" s="1306"/>
      <c r="AB426" s="1306"/>
      <c r="AC426" s="1306"/>
      <c r="AD426" s="1306"/>
      <c r="AE426" s="1306"/>
      <c r="AF426" s="1306"/>
      <c r="AG426" s="1306"/>
      <c r="AH426" s="1306"/>
      <c r="AI426" s="1306"/>
      <c r="AJ426" s="1306"/>
      <c r="AK426" s="1306"/>
      <c r="AL426" s="1306"/>
      <c r="AM426" s="1302">
        <f>SUM(AM423:AP425)</f>
        <v>0</v>
      </c>
      <c r="AN426" s="1302"/>
      <c r="AO426" s="1302"/>
      <c r="AP426" s="1302"/>
      <c r="AQ426" s="322"/>
      <c r="AR426" s="322"/>
      <c r="AS426" s="137"/>
      <c r="AT426" s="137"/>
      <c r="AU426" s="1306"/>
      <c r="AV426" s="1306"/>
      <c r="AW426" s="1306"/>
      <c r="AX426" s="1306"/>
      <c r="AY426" s="1306"/>
      <c r="AZ426" s="1306"/>
      <c r="BA426" s="1306"/>
      <c r="BB426" s="1306"/>
      <c r="BC426" s="1306"/>
      <c r="BD426" s="1306"/>
      <c r="BE426" s="1306"/>
      <c r="BF426" s="1306"/>
      <c r="BG426" s="1306"/>
      <c r="BH426" s="1306"/>
      <c r="BI426" s="1306"/>
      <c r="BJ426" s="1306"/>
      <c r="BK426" s="1302">
        <f>SUM(BK423:BN425)</f>
        <v>0</v>
      </c>
      <c r="BL426" s="1302"/>
      <c r="BM426" s="1302"/>
      <c r="BN426" s="1302"/>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Consumo elettricità aggregati ausiliari «parte calda»</v>
      </c>
      <c r="J429" s="607"/>
      <c r="K429" s="607"/>
      <c r="L429" s="607"/>
      <c r="M429" s="607"/>
      <c r="N429" s="607"/>
      <c r="O429" s="607"/>
      <c r="P429" s="607"/>
      <c r="Q429" s="607"/>
      <c r="R429" s="607"/>
      <c r="S429" s="607"/>
      <c r="T429" s="607"/>
      <c r="X429" s="1301" t="s">
        <v>127</v>
      </c>
      <c r="Y429" s="1301"/>
      <c r="Z429" s="1301"/>
      <c r="AB429" s="1301" t="str">
        <f>AB348</f>
        <v>Regolazione</v>
      </c>
      <c r="AC429" s="1301"/>
      <c r="AD429" s="1301"/>
      <c r="AF429" s="1301" t="str">
        <f>AF348</f>
        <v>Pe (corr.)</v>
      </c>
      <c r="AG429" s="1301"/>
      <c r="AH429" s="1301"/>
      <c r="AJ429" s="1472" t="str">
        <f>X!$C$163</f>
        <v>Durata</v>
      </c>
      <c r="AK429" s="1473"/>
      <c r="AL429" s="1473"/>
      <c r="AN429" s="1339" t="s">
        <v>1278</v>
      </c>
      <c r="AO429" s="1301"/>
      <c r="AP429" s="1301"/>
      <c r="AV429" s="1301" t="s">
        <v>127</v>
      </c>
      <c r="AW429" s="1301"/>
      <c r="AX429" s="1301"/>
      <c r="AZ429" s="1301" t="str">
        <f>AZ348</f>
        <v>Regolazione</v>
      </c>
      <c r="BA429" s="1301"/>
      <c r="BB429" s="1301"/>
      <c r="BD429" s="1301" t="str">
        <f>BD376</f>
        <v>Pe (corr.)</v>
      </c>
      <c r="BE429" s="1301"/>
      <c r="BF429" s="1301"/>
      <c r="BH429" s="1472" t="str">
        <f>X!$C$163</f>
        <v>Durata</v>
      </c>
      <c r="BI429" s="1473"/>
      <c r="BJ429" s="1473"/>
      <c r="BL429" s="1339" t="s">
        <v>1278</v>
      </c>
      <c r="BM429" s="1301"/>
      <c r="BN429" s="1301"/>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336" t="s">
        <v>83</v>
      </c>
      <c r="Y430" s="1336"/>
      <c r="Z430" s="1336"/>
      <c r="AA430" s="561"/>
      <c r="AB430" s="1334" t="s">
        <v>28</v>
      </c>
      <c r="AC430" s="1335"/>
      <c r="AD430" s="1335"/>
      <c r="AE430" s="70"/>
      <c r="AF430" s="1336" t="s">
        <v>83</v>
      </c>
      <c r="AG430" s="1336"/>
      <c r="AH430" s="1336"/>
      <c r="AJ430" s="1300" t="s">
        <v>129</v>
      </c>
      <c r="AK430" s="1301"/>
      <c r="AL430" s="1301"/>
      <c r="AN430" s="1300" t="s">
        <v>176</v>
      </c>
      <c r="AO430" s="1301"/>
      <c r="AP430" s="1301"/>
      <c r="AV430" s="1336" t="s">
        <v>83</v>
      </c>
      <c r="AW430" s="1336"/>
      <c r="AX430" s="1336"/>
      <c r="AY430" s="561"/>
      <c r="AZ430" s="1334" t="s">
        <v>28</v>
      </c>
      <c r="BA430" s="1335"/>
      <c r="BB430" s="1335"/>
      <c r="BC430" s="70"/>
      <c r="BD430" s="1336" t="s">
        <v>83</v>
      </c>
      <c r="BE430" s="1336"/>
      <c r="BF430" s="1336"/>
      <c r="BH430" s="1300" t="s">
        <v>129</v>
      </c>
      <c r="BI430" s="1301"/>
      <c r="BJ430" s="1301"/>
      <c r="BL430" s="1300" t="s">
        <v>176</v>
      </c>
      <c r="BM430" s="1301"/>
      <c r="BN430" s="1301"/>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Pompe circolazione caldo</v>
      </c>
      <c r="J432" s="74"/>
      <c r="K432" s="74"/>
      <c r="L432" s="74"/>
      <c r="M432" s="74"/>
      <c r="N432" s="74"/>
      <c r="O432" s="74"/>
      <c r="P432" s="74"/>
      <c r="Q432" s="74"/>
      <c r="R432" s="74"/>
      <c r="S432" s="74"/>
      <c r="T432" s="95"/>
      <c r="U432" s="95"/>
      <c r="V432" s="95"/>
      <c r="W432" s="95"/>
      <c r="X432" s="1333">
        <f>X79</f>
        <v>0</v>
      </c>
      <c r="Y432" s="1333"/>
      <c r="Z432" s="1333"/>
      <c r="AA432" s="106"/>
      <c r="AB432" s="1334">
        <f>-AP511</f>
        <v>0</v>
      </c>
      <c r="AC432" s="1335"/>
      <c r="AD432" s="1335"/>
      <c r="AE432" s="70"/>
      <c r="AF432" s="1333">
        <f>X432*(1+AB432)</f>
        <v>0</v>
      </c>
      <c r="AG432" s="1333"/>
      <c r="AH432" s="1333"/>
      <c r="AI432"/>
      <c r="AJ432" s="1300">
        <f>IF(AF432=0,0,ROUND(X448+AF448+AN448,-1))</f>
        <v>0</v>
      </c>
      <c r="AK432" s="1301"/>
      <c r="AL432" s="1301"/>
      <c r="AM432"/>
      <c r="AN432" s="1300">
        <f>ROUND(AF432*AJ432,-2)</f>
        <v>0</v>
      </c>
      <c r="AO432" s="1301"/>
      <c r="AP432" s="1301"/>
      <c r="AQ432"/>
      <c r="AR432"/>
      <c r="AS432"/>
      <c r="AT432" s="74"/>
      <c r="AU432" s="74"/>
      <c r="AV432" s="1333">
        <f>AV79</f>
        <v>0</v>
      </c>
      <c r="AW432" s="1333"/>
      <c r="AX432" s="1333"/>
      <c r="AY432" s="106"/>
      <c r="AZ432" s="1334">
        <f>-BN511</f>
        <v>0</v>
      </c>
      <c r="BA432" s="1335"/>
      <c r="BB432" s="1335"/>
      <c r="BC432" s="70"/>
      <c r="BD432" s="1333">
        <f>AV432*(1+AZ432)</f>
        <v>0</v>
      </c>
      <c r="BE432" s="1333"/>
      <c r="BF432" s="1333"/>
      <c r="BG432"/>
      <c r="BH432" s="1300">
        <f>IF(BD432=0,0,ROUND(AV448+BD448+BL448,-1))</f>
        <v>0</v>
      </c>
      <c r="BI432" s="1301"/>
      <c r="BJ432" s="1301"/>
      <c r="BK432"/>
      <c r="BL432" s="1300">
        <f>ROUND(BD432*BH432,-2)</f>
        <v>0</v>
      </c>
      <c r="BM432" s="1301"/>
      <c r="BN432" s="1301"/>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Pompe nebulizzazione</v>
      </c>
      <c r="J433" s="74"/>
      <c r="K433" s="74"/>
      <c r="L433" s="74"/>
      <c r="M433" s="74"/>
      <c r="N433" s="74"/>
      <c r="O433" s="74"/>
      <c r="P433" s="74"/>
      <c r="Q433" s="74"/>
      <c r="R433" s="74"/>
      <c r="S433" s="74"/>
      <c r="T433" s="74"/>
      <c r="U433" s="95"/>
      <c r="V433" s="74"/>
      <c r="W433" s="74"/>
      <c r="X433" s="1333">
        <f>X81</f>
        <v>0</v>
      </c>
      <c r="Y433" s="1333"/>
      <c r="Z433" s="1333"/>
      <c r="AA433" s="106"/>
      <c r="AB433" s="1334">
        <f>-AP521</f>
        <v>0</v>
      </c>
      <c r="AC433" s="1335"/>
      <c r="AD433" s="1335"/>
      <c r="AE433" s="70"/>
      <c r="AF433" s="1333">
        <f>X433*(1+AB433)</f>
        <v>0</v>
      </c>
      <c r="AG433" s="1333"/>
      <c r="AH433" s="1333"/>
      <c r="AI433"/>
      <c r="AJ433" s="1300">
        <f t="shared" ref="AJ433:AJ435" si="51">IF(AF433=0,0,ROUND(X449+AF449+AN449,-1))</f>
        <v>0</v>
      </c>
      <c r="AK433" s="1301"/>
      <c r="AL433" s="1301"/>
      <c r="AM433"/>
      <c r="AN433" s="1300">
        <f>ROUND(AF433*AJ433,-2)</f>
        <v>0</v>
      </c>
      <c r="AO433" s="1301"/>
      <c r="AP433" s="1301"/>
      <c r="AQ433"/>
      <c r="AR433"/>
      <c r="AS433"/>
      <c r="AT433" s="74"/>
      <c r="AU433" s="74"/>
      <c r="AV433" s="1333">
        <f>AV81</f>
        <v>0</v>
      </c>
      <c r="AW433" s="1333"/>
      <c r="AX433" s="1333"/>
      <c r="AY433" s="106"/>
      <c r="AZ433" s="1334">
        <f>-BN521</f>
        <v>0</v>
      </c>
      <c r="BA433" s="1334"/>
      <c r="BB433" s="1334"/>
      <c r="BC433" s="70"/>
      <c r="BD433" s="1333">
        <f>AV433*(1+AZ433)</f>
        <v>0</v>
      </c>
      <c r="BE433" s="1333"/>
      <c r="BF433" s="1333"/>
      <c r="BG433"/>
      <c r="BH433" s="1300">
        <f t="shared" ref="BH433:BH435" si="52">IF(BD433=0,0,ROUND(AV449+BD449+BL449,-1))</f>
        <v>0</v>
      </c>
      <c r="BI433" s="1301"/>
      <c r="BJ433" s="1301"/>
      <c r="BK433"/>
      <c r="BL433" s="1300">
        <f>ROUND(BD433*BH433,-2)</f>
        <v>0</v>
      </c>
      <c r="BM433" s="1301"/>
      <c r="BN433" s="1301"/>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Ventilatori raffreddato /condensatore</v>
      </c>
      <c r="J434" s="74"/>
      <c r="K434" s="74"/>
      <c r="L434" s="74"/>
      <c r="M434" s="74"/>
      <c r="N434" s="74"/>
      <c r="O434" s="74"/>
      <c r="P434" s="74"/>
      <c r="Q434" s="74"/>
      <c r="R434" s="74"/>
      <c r="S434" s="74"/>
      <c r="T434" s="74"/>
      <c r="U434" s="95"/>
      <c r="V434" s="74"/>
      <c r="W434" s="74"/>
      <c r="X434" s="1333">
        <f>X83</f>
        <v>0</v>
      </c>
      <c r="Y434" s="1333"/>
      <c r="Z434" s="1333"/>
      <c r="AA434" s="106"/>
      <c r="AB434" s="1334">
        <f>-AP531</f>
        <v>0</v>
      </c>
      <c r="AC434" s="1335"/>
      <c r="AD434" s="1335"/>
      <c r="AE434" s="70"/>
      <c r="AF434" s="1333">
        <f>X434*(1+AB434)</f>
        <v>0</v>
      </c>
      <c r="AG434" s="1333"/>
      <c r="AH434" s="1333"/>
      <c r="AI434"/>
      <c r="AJ434" s="1300">
        <f t="shared" si="51"/>
        <v>0</v>
      </c>
      <c r="AK434" s="1301"/>
      <c r="AL434" s="1301"/>
      <c r="AM434"/>
      <c r="AN434" s="1300">
        <f>ROUND(AF434*AJ434,-2)</f>
        <v>0</v>
      </c>
      <c r="AO434" s="1301"/>
      <c r="AP434" s="1301"/>
      <c r="AQ434"/>
      <c r="AR434"/>
      <c r="AS434"/>
      <c r="AT434" s="74"/>
      <c r="AU434" s="74"/>
      <c r="AV434" s="1333">
        <f>AV83</f>
        <v>0</v>
      </c>
      <c r="AW434" s="1333"/>
      <c r="AX434" s="1333"/>
      <c r="AY434" s="106"/>
      <c r="AZ434" s="1334">
        <f>-BN531</f>
        <v>0</v>
      </c>
      <c r="BA434" s="1334"/>
      <c r="BB434" s="1334"/>
      <c r="BC434" s="70"/>
      <c r="BD434" s="1333">
        <f>AV434*(1+AZ434)</f>
        <v>0</v>
      </c>
      <c r="BE434" s="1333"/>
      <c r="BF434" s="1333"/>
      <c r="BG434"/>
      <c r="BH434" s="1300">
        <f t="shared" si="52"/>
        <v>0</v>
      </c>
      <c r="BI434" s="1301"/>
      <c r="BJ434" s="1301"/>
      <c r="BK434"/>
      <c r="BL434" s="1300">
        <f>ROUND(BD434*BH434,-2)</f>
        <v>0</v>
      </c>
      <c r="BM434" s="1301"/>
      <c r="BN434" s="1301"/>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333">
        <f>X85</f>
        <v>0</v>
      </c>
      <c r="Y435" s="1333"/>
      <c r="Z435" s="1333"/>
      <c r="AA435" s="106"/>
      <c r="AB435" s="1334">
        <f>-AP541</f>
        <v>0</v>
      </c>
      <c r="AC435" s="1335"/>
      <c r="AD435" s="1335"/>
      <c r="AE435" s="70"/>
      <c r="AF435" s="1333">
        <f>X435*(1+AB435)</f>
        <v>0</v>
      </c>
      <c r="AG435" s="1333"/>
      <c r="AH435" s="1333"/>
      <c r="AI435"/>
      <c r="AJ435" s="1300">
        <f t="shared" si="51"/>
        <v>0</v>
      </c>
      <c r="AK435" s="1301"/>
      <c r="AL435" s="1301"/>
      <c r="AM435"/>
      <c r="AN435" s="1300">
        <f>ROUND(AF435*AJ435,-2)</f>
        <v>0</v>
      </c>
      <c r="AO435" s="1301"/>
      <c r="AP435" s="1301"/>
      <c r="AQ435"/>
      <c r="AR435"/>
      <c r="AS435"/>
      <c r="AT435" s="74"/>
      <c r="AU435" s="74"/>
      <c r="AV435" s="1333">
        <f>AV85</f>
        <v>0</v>
      </c>
      <c r="AW435" s="1333"/>
      <c r="AX435" s="1333"/>
      <c r="AY435" s="106"/>
      <c r="AZ435" s="1334">
        <f>-BN541</f>
        <v>0</v>
      </c>
      <c r="BA435" s="1334"/>
      <c r="BB435" s="1334"/>
      <c r="BC435" s="70"/>
      <c r="BD435" s="1333">
        <f>AV435*(1+AZ435)</f>
        <v>0</v>
      </c>
      <c r="BE435" s="1333"/>
      <c r="BF435" s="1333"/>
      <c r="BG435"/>
      <c r="BH435" s="1300">
        <f t="shared" si="52"/>
        <v>0</v>
      </c>
      <c r="BI435" s="1301"/>
      <c r="BJ435" s="1301"/>
      <c r="BK435"/>
      <c r="BL435" s="1300">
        <f>ROUND(BD435*BH435,-2)</f>
        <v>0</v>
      </c>
      <c r="BM435" s="1301"/>
      <c r="BN435" s="1301"/>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funzionamento ausiliario supplementare per il freecooling o l'utilizzo del calore</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295" t="str">
        <f>IF(I123="","",I123)</f>
        <v/>
      </c>
      <c r="J437" s="1295"/>
      <c r="K437" s="1295"/>
      <c r="L437" s="1295"/>
      <c r="M437" s="1295"/>
      <c r="N437" s="1295"/>
      <c r="O437" s="1295"/>
      <c r="P437" s="1295"/>
      <c r="Q437" s="1295"/>
      <c r="R437" s="1295"/>
      <c r="S437" s="1295"/>
      <c r="T437" s="507"/>
      <c r="U437" s="506"/>
      <c r="V437" s="507"/>
      <c r="W437" s="507"/>
      <c r="X437" s="1462">
        <f>IF(AB112=0,X123,0)</f>
        <v>0</v>
      </c>
      <c r="Y437" s="1462"/>
      <c r="Z437" s="1462"/>
      <c r="AA437" s="450"/>
      <c r="AB437" s="1500">
        <f>IF(AB112=1,0,-$AP551)</f>
        <v>0</v>
      </c>
      <c r="AC437" s="1501"/>
      <c r="AD437" s="1501"/>
      <c r="AE437" s="477"/>
      <c r="AF437" s="1462">
        <f>X437*(1+AB437)</f>
        <v>0</v>
      </c>
      <c r="AG437" s="1462"/>
      <c r="AH437" s="1462"/>
      <c r="AI437" s="283"/>
      <c r="AJ437" s="1340">
        <f t="shared" ref="AJ437" si="53">IF(AF437=0,0,ROUND(X453+AF453+AN453,-1))</f>
        <v>0</v>
      </c>
      <c r="AK437" s="1341"/>
      <c r="AL437" s="1341"/>
      <c r="AM437" s="283"/>
      <c r="AN437" s="1340">
        <f>ROUND(AF437*AJ437,-2)</f>
        <v>0</v>
      </c>
      <c r="AO437" s="1341"/>
      <c r="AP437" s="1341"/>
      <c r="AQ437"/>
      <c r="AR437"/>
      <c r="AS437"/>
      <c r="AT437" s="74"/>
      <c r="AU437" s="74"/>
      <c r="AV437" s="1462">
        <f>IF(AZ112=0,AV123,0)</f>
        <v>0</v>
      </c>
      <c r="AW437" s="1462"/>
      <c r="AX437" s="1462"/>
      <c r="AY437" s="450"/>
      <c r="AZ437" s="1500">
        <f>IF(AZ112=1,0,-$BN551)</f>
        <v>0</v>
      </c>
      <c r="BA437" s="1501"/>
      <c r="BB437" s="1501"/>
      <c r="BC437" s="477"/>
      <c r="BD437" s="1462">
        <f>AV437*(1+AZ437)</f>
        <v>0</v>
      </c>
      <c r="BE437" s="1462"/>
      <c r="BF437" s="1462"/>
      <c r="BG437" s="283"/>
      <c r="BH437" s="1340">
        <f t="shared" ref="BH437" si="54">IF(BD437=0,0,ROUND(AV453+BD453+BL453,-1))</f>
        <v>0</v>
      </c>
      <c r="BI437" s="1341"/>
      <c r="BJ437" s="1341"/>
      <c r="BK437" s="283"/>
      <c r="BL437" s="1340">
        <f>ROUND(BD437*BH437,-2)</f>
        <v>0</v>
      </c>
      <c r="BM437" s="1341"/>
      <c r="BN437" s="1341"/>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Totale</v>
      </c>
      <c r="J438" s="115"/>
      <c r="K438" s="115"/>
      <c r="L438" s="115"/>
      <c r="M438" s="115"/>
      <c r="N438" s="115"/>
      <c r="O438" s="115"/>
      <c r="P438" s="115"/>
      <c r="Q438" s="115"/>
      <c r="R438" s="115"/>
      <c r="S438" s="115"/>
      <c r="T438" s="115"/>
      <c r="U438" s="151" t="s">
        <v>176</v>
      </c>
      <c r="V438" s="115"/>
      <c r="W438" s="115"/>
      <c r="X438" s="1303"/>
      <c r="Y438" s="1303"/>
      <c r="Z438" s="1303"/>
      <c r="AA438" s="137"/>
      <c r="AB438" s="1359"/>
      <c r="AC438" s="1359"/>
      <c r="AD438" s="1359"/>
      <c r="AE438" s="178"/>
      <c r="AF438" s="1303"/>
      <c r="AG438" s="1303"/>
      <c r="AH438" s="1303"/>
      <c r="AI438" s="179"/>
      <c r="AJ438" s="1333"/>
      <c r="AK438" s="1333"/>
      <c r="AL438" s="1333"/>
      <c r="AM438" s="179"/>
      <c r="AN438" s="1315">
        <f>SUM(AN432:AP437)</f>
        <v>0</v>
      </c>
      <c r="AO438" s="1316"/>
      <c r="AP438" s="1316"/>
      <c r="AQ438" s="179"/>
      <c r="AR438" s="179"/>
      <c r="AS438" s="179"/>
      <c r="AT438" s="115"/>
      <c r="AU438" s="115"/>
      <c r="AV438" s="1303"/>
      <c r="AW438" s="1303"/>
      <c r="AX438" s="1303"/>
      <c r="AY438" s="137"/>
      <c r="AZ438" s="1359"/>
      <c r="BA438" s="1359"/>
      <c r="BB438" s="1359"/>
      <c r="BC438" s="178"/>
      <c r="BD438" s="1303"/>
      <c r="BE438" s="1303"/>
      <c r="BF438" s="1303"/>
      <c r="BG438" s="179"/>
      <c r="BH438" s="1333"/>
      <c r="BI438" s="1333"/>
      <c r="BJ438" s="1333"/>
      <c r="BK438" s="179"/>
      <c r="BL438" s="1315">
        <f>SUM(BL432:BN437)</f>
        <v>0</v>
      </c>
      <c r="BM438" s="1316"/>
      <c r="BN438" s="1316"/>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Durata aggregati ausiliari «parte calda»</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03"/>
      <c r="AK440" s="1303"/>
      <c r="AL440" s="1303"/>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Funzionamento normale</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66">
        <f>AJ444-AJ443-AJ442</f>
        <v>0</v>
      </c>
      <c r="AK441" s="1293"/>
      <c r="AL441" s="1293"/>
      <c r="AM441" t="s">
        <v>129</v>
      </c>
      <c r="AN441"/>
      <c r="AO441"/>
      <c r="AP441"/>
      <c r="AQ441"/>
      <c r="AR441"/>
      <c r="AS441"/>
      <c r="AT441" s="74"/>
      <c r="AU441" s="74"/>
      <c r="AV441" s="127"/>
      <c r="AW441" s="127"/>
      <c r="AX441" s="127"/>
      <c r="AY441" s="106"/>
      <c r="AZ441" s="574"/>
      <c r="BA441" s="147"/>
      <c r="BB441" s="147"/>
      <c r="BC441" s="70"/>
      <c r="BD441" s="127"/>
      <c r="BE441" s="127"/>
      <c r="BF441" s="127"/>
      <c r="BG441"/>
      <c r="BH441" s="1266">
        <f>BH444-BH443-BH442</f>
        <v>0</v>
      </c>
      <c r="BI441" s="1293"/>
      <c r="BJ441" s="1293"/>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484">
        <f>AB113</f>
        <v>0</v>
      </c>
      <c r="Y442" s="1484"/>
      <c r="Z442" s="1484"/>
      <c r="AA442" s="769"/>
      <c r="AB442" s="770"/>
      <c r="AC442" s="583"/>
      <c r="AD442" s="583"/>
      <c r="AE442" s="769"/>
      <c r="AF442" s="1484">
        <f>AE874</f>
        <v>0</v>
      </c>
      <c r="AG442" s="1484"/>
      <c r="AH442" s="1484"/>
      <c r="AI442"/>
      <c r="AJ442" s="1266">
        <f>X442*AF442*AJ444</f>
        <v>0</v>
      </c>
      <c r="AK442" s="1293"/>
      <c r="AL442" s="1293"/>
      <c r="AM442" t="s">
        <v>129</v>
      </c>
      <c r="AN442"/>
      <c r="AO442"/>
      <c r="AP442"/>
      <c r="AQ442"/>
      <c r="AR442"/>
      <c r="AS442"/>
      <c r="AT442" s="74"/>
      <c r="AU442" s="74"/>
      <c r="AV442" s="1405">
        <f>AZ113</f>
        <v>0</v>
      </c>
      <c r="AW442" s="1405"/>
      <c r="AX442" s="1405"/>
      <c r="AY442" s="769"/>
      <c r="AZ442" s="770"/>
      <c r="BA442" s="583"/>
      <c r="BB442" s="583"/>
      <c r="BC442" s="769"/>
      <c r="BD442" s="1405">
        <f>BC874</f>
        <v>0</v>
      </c>
      <c r="BE442" s="1405"/>
      <c r="BF442" s="1405"/>
      <c r="BG442"/>
      <c r="BH442" s="1266">
        <f>AV442*BD442*BH444</f>
        <v>0</v>
      </c>
      <c r="BI442" s="1293"/>
      <c r="BJ442" s="1293"/>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Recupero del calore</v>
      </c>
      <c r="K443" s="74"/>
      <c r="L443" s="74"/>
      <c r="M443" s="74"/>
      <c r="N443" s="74"/>
      <c r="O443" s="74"/>
      <c r="P443" s="74"/>
      <c r="Q443" s="74"/>
      <c r="R443" s="74"/>
      <c r="S443" s="74"/>
      <c r="T443" s="74"/>
      <c r="U443" s="95"/>
      <c r="V443" s="74"/>
      <c r="W443" s="74"/>
      <c r="X443" s="1484">
        <f>AB114</f>
        <v>0</v>
      </c>
      <c r="Y443" s="1484"/>
      <c r="Z443" s="1484"/>
      <c r="AA443" s="769"/>
      <c r="AB443" s="770"/>
      <c r="AC443" s="583"/>
      <c r="AD443" s="583"/>
      <c r="AE443" s="769"/>
      <c r="AF443" s="1484">
        <f>AN1002</f>
        <v>0</v>
      </c>
      <c r="AG443" s="1484"/>
      <c r="AH443" s="1484"/>
      <c r="AI443"/>
      <c r="AJ443" s="1267">
        <f>X443*AF443*AJ444</f>
        <v>0</v>
      </c>
      <c r="AK443" s="1461"/>
      <c r="AL443" s="1461"/>
      <c r="AM443" s="283" t="s">
        <v>129</v>
      </c>
      <c r="AN443"/>
      <c r="AO443"/>
      <c r="AP443"/>
      <c r="AQ443"/>
      <c r="AR443"/>
      <c r="AS443"/>
      <c r="AT443" s="74"/>
      <c r="AU443" s="74"/>
      <c r="AV443" s="1405">
        <f>AZ114</f>
        <v>0</v>
      </c>
      <c r="AW443" s="1405"/>
      <c r="AX443" s="1405"/>
      <c r="AY443" s="769"/>
      <c r="AZ443" s="770"/>
      <c r="BA443" s="583"/>
      <c r="BB443" s="583"/>
      <c r="BC443" s="769"/>
      <c r="BD443" s="1405">
        <f>BL1002</f>
        <v>0</v>
      </c>
      <c r="BE443" s="1405"/>
      <c r="BF443" s="1405"/>
      <c r="BG443"/>
      <c r="BH443" s="1267">
        <f>AV443*BD443*BH444</f>
        <v>0</v>
      </c>
      <c r="BI443" s="1461"/>
      <c r="BJ443" s="1461"/>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Durata totale</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66">
        <f>AN408</f>
        <v>0</v>
      </c>
      <c r="AK444" s="1293"/>
      <c r="AL444" s="1293"/>
      <c r="AM444" t="s">
        <v>129</v>
      </c>
      <c r="AN444"/>
      <c r="AO444"/>
      <c r="AP444"/>
      <c r="AQ444"/>
      <c r="AR444"/>
      <c r="AS444"/>
      <c r="AT444" s="74"/>
      <c r="AU444" s="74"/>
      <c r="AV444" s="743"/>
      <c r="AW444" s="743"/>
      <c r="AX444" s="743"/>
      <c r="AY444" s="106"/>
      <c r="AZ444" s="574"/>
      <c r="BA444" s="147"/>
      <c r="BB444" s="147"/>
      <c r="BC444" s="70"/>
      <c r="BD444" s="743"/>
      <c r="BE444" s="743"/>
      <c r="BF444" s="743"/>
      <c r="BG444"/>
      <c r="BH444" s="1266">
        <f>BL408</f>
        <v>0</v>
      </c>
      <c r="BI444" s="1293"/>
      <c r="BJ444" s="1293"/>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66"/>
      <c r="AK445" s="1293"/>
      <c r="AL445" s="1293"/>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321" t="s">
        <v>129</v>
      </c>
      <c r="Y447" s="1322"/>
      <c r="Z447" s="1322"/>
      <c r="AA447" s="106"/>
      <c r="AB447" s="1321" t="s">
        <v>28</v>
      </c>
      <c r="AC447" s="1322"/>
      <c r="AD447" s="1322"/>
      <c r="AE447" s="70"/>
      <c r="AF447" s="1321" t="s">
        <v>129</v>
      </c>
      <c r="AG447" s="1322"/>
      <c r="AH447" s="1322"/>
      <c r="AI447"/>
      <c r="AJ447" s="1321" t="s">
        <v>28</v>
      </c>
      <c r="AK447" s="1322"/>
      <c r="AL447" s="1322"/>
      <c r="AM447"/>
      <c r="AN447" s="1321" t="s">
        <v>129</v>
      </c>
      <c r="AO447" s="1322"/>
      <c r="AP447" s="1322"/>
      <c r="AQ447"/>
      <c r="AR447"/>
      <c r="AS447"/>
      <c r="AT447" s="74"/>
      <c r="AU447" s="95"/>
      <c r="AV447" s="1321" t="s">
        <v>129</v>
      </c>
      <c r="AW447" s="1322"/>
      <c r="AX447" s="1322"/>
      <c r="AY447" s="106"/>
      <c r="AZ447" s="1321" t="s">
        <v>28</v>
      </c>
      <c r="BA447" s="1322"/>
      <c r="BB447" s="1322"/>
      <c r="BC447" s="70"/>
      <c r="BD447" s="1321" t="s">
        <v>129</v>
      </c>
      <c r="BE447" s="1322"/>
      <c r="BF447" s="1322"/>
      <c r="BG447"/>
      <c r="BH447" s="1321" t="s">
        <v>28</v>
      </c>
      <c r="BI447" s="1322"/>
      <c r="BJ447" s="1322"/>
      <c r="BK447"/>
      <c r="BL447" s="1321" t="s">
        <v>129</v>
      </c>
      <c r="BM447" s="1322"/>
      <c r="BN447" s="1322"/>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Pompe circolazione caldo</v>
      </c>
      <c r="J448" s="74"/>
      <c r="K448" s="74"/>
      <c r="L448" s="74"/>
      <c r="M448" s="74"/>
      <c r="N448" s="74"/>
      <c r="O448" s="74"/>
      <c r="P448" s="74"/>
      <c r="Q448" s="74"/>
      <c r="R448" s="74"/>
      <c r="S448" s="74"/>
      <c r="T448" s="74"/>
      <c r="U448" s="95"/>
      <c r="V448" s="74"/>
      <c r="W448" s="74"/>
      <c r="X448" s="1289">
        <f>AJ441</f>
        <v>0</v>
      </c>
      <c r="Y448" s="1289"/>
      <c r="Z448" s="1289"/>
      <c r="AA448" s="106"/>
      <c r="AB448" s="1290">
        <f>AB367</f>
        <v>0</v>
      </c>
      <c r="AC448" s="1290"/>
      <c r="AD448" s="1290"/>
      <c r="AE448" s="70"/>
      <c r="AF448" s="1291">
        <f>AJ$442*AB448</f>
        <v>0</v>
      </c>
      <c r="AG448" s="1291"/>
      <c r="AH448" s="1291"/>
      <c r="AI448"/>
      <c r="AJ448" s="1290">
        <f>AJ367</f>
        <v>0.3</v>
      </c>
      <c r="AK448" s="1290"/>
      <c r="AL448" s="1290"/>
      <c r="AM448"/>
      <c r="AN448" s="1291">
        <f>AJ$443*AJ448</f>
        <v>0</v>
      </c>
      <c r="AO448" s="1291"/>
      <c r="AP448" s="1291"/>
      <c r="AQ448"/>
      <c r="AR448"/>
      <c r="AS448"/>
      <c r="AT448" s="74"/>
      <c r="AU448" s="74"/>
      <c r="AV448" s="1289">
        <f>BH441</f>
        <v>0</v>
      </c>
      <c r="AW448" s="1289"/>
      <c r="AX448" s="1289"/>
      <c r="AY448" s="106"/>
      <c r="AZ448" s="1290">
        <f>AZ367</f>
        <v>0</v>
      </c>
      <c r="BA448" s="1290"/>
      <c r="BB448" s="1290"/>
      <c r="BC448" s="70"/>
      <c r="BD448" s="1291">
        <f>BH$442*AZ448</f>
        <v>0</v>
      </c>
      <c r="BE448" s="1291"/>
      <c r="BF448" s="1291"/>
      <c r="BG448"/>
      <c r="BH448" s="1290">
        <f>BH367</f>
        <v>0.3</v>
      </c>
      <c r="BI448" s="1290"/>
      <c r="BJ448" s="1290"/>
      <c r="BK448"/>
      <c r="BL448" s="1291">
        <f>BH$443*BH448</f>
        <v>0</v>
      </c>
      <c r="BM448" s="1291"/>
      <c r="BN448" s="1291"/>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Pompe nebulizzazione</v>
      </c>
      <c r="J449" s="74"/>
      <c r="K449" s="74"/>
      <c r="L449" s="74"/>
      <c r="M449" s="74"/>
      <c r="N449" s="74"/>
      <c r="O449" s="74"/>
      <c r="P449" s="74"/>
      <c r="Q449" s="74"/>
      <c r="R449" s="74"/>
      <c r="S449" s="74"/>
      <c r="T449" s="74"/>
      <c r="U449" s="95"/>
      <c r="V449" s="74"/>
      <c r="W449" s="74"/>
      <c r="X449" s="1289">
        <f>X448</f>
        <v>0</v>
      </c>
      <c r="Y449" s="1289"/>
      <c r="Z449" s="1289"/>
      <c r="AA449" s="106"/>
      <c r="AB449" s="1290">
        <f>AB368</f>
        <v>0.5</v>
      </c>
      <c r="AC449" s="1290"/>
      <c r="AD449" s="1290"/>
      <c r="AE449" s="70"/>
      <c r="AF449" s="1291">
        <f t="shared" ref="AF449:AF451" si="56">AJ$442*AB449</f>
        <v>0</v>
      </c>
      <c r="AG449" s="1291"/>
      <c r="AH449" s="1291"/>
      <c r="AI449"/>
      <c r="AJ449" s="1290">
        <f>AJ368</f>
        <v>0</v>
      </c>
      <c r="AK449" s="1290"/>
      <c r="AL449" s="1290"/>
      <c r="AM449"/>
      <c r="AN449" s="1291">
        <f t="shared" ref="AN449:AN451" si="57">AJ$443*AJ449</f>
        <v>0</v>
      </c>
      <c r="AO449" s="1291"/>
      <c r="AP449" s="1291"/>
      <c r="AQ449"/>
      <c r="AR449"/>
      <c r="AS449"/>
      <c r="AT449" s="74"/>
      <c r="AU449" s="74"/>
      <c r="AV449" s="1289">
        <f>AV448</f>
        <v>0</v>
      </c>
      <c r="AW449" s="1289"/>
      <c r="AX449" s="1289"/>
      <c r="AY449" s="106"/>
      <c r="AZ449" s="1290">
        <f>AZ368</f>
        <v>0.5</v>
      </c>
      <c r="BA449" s="1290"/>
      <c r="BB449" s="1290"/>
      <c r="BC449" s="70"/>
      <c r="BD449" s="1291">
        <f>BH$442*AZ449</f>
        <v>0</v>
      </c>
      <c r="BE449" s="1291"/>
      <c r="BF449" s="1291"/>
      <c r="BG449"/>
      <c r="BH449" s="1290">
        <f>BH368</f>
        <v>0</v>
      </c>
      <c r="BI449" s="1290"/>
      <c r="BJ449" s="1290"/>
      <c r="BK449"/>
      <c r="BL449" s="1291">
        <f t="shared" ref="BL449:BL451" si="58">BH$443*BH449</f>
        <v>0</v>
      </c>
      <c r="BM449" s="1291"/>
      <c r="BN449" s="1291"/>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288" t="str">
        <f t="shared" si="55"/>
        <v>Ventilatori raffreddato /condensatore</v>
      </c>
      <c r="J450" s="1288"/>
      <c r="K450" s="1288"/>
      <c r="L450" s="1288"/>
      <c r="M450" s="1288"/>
      <c r="N450" s="1288"/>
      <c r="O450" s="1288"/>
      <c r="P450" s="1288"/>
      <c r="Q450" s="1288"/>
      <c r="R450" s="1288"/>
      <c r="S450" s="1288"/>
      <c r="T450" s="74"/>
      <c r="U450" s="95"/>
      <c r="V450" s="74"/>
      <c r="W450" s="74"/>
      <c r="X450" s="1289">
        <f>X448</f>
        <v>0</v>
      </c>
      <c r="Y450" s="1289"/>
      <c r="Z450" s="1289"/>
      <c r="AA450" s="106"/>
      <c r="AB450" s="1290">
        <f>AB369</f>
        <v>1</v>
      </c>
      <c r="AC450" s="1290"/>
      <c r="AD450" s="1290"/>
      <c r="AE450" s="70"/>
      <c r="AF450" s="1291">
        <f t="shared" si="56"/>
        <v>0</v>
      </c>
      <c r="AG450" s="1291"/>
      <c r="AH450" s="1291"/>
      <c r="AI450"/>
      <c r="AJ450" s="1290">
        <f>AJ369</f>
        <v>0.4</v>
      </c>
      <c r="AK450" s="1290"/>
      <c r="AL450" s="1290"/>
      <c r="AM450"/>
      <c r="AN450" s="1291">
        <f t="shared" si="57"/>
        <v>0</v>
      </c>
      <c r="AO450" s="1291"/>
      <c r="AP450" s="1291"/>
      <c r="AQ450"/>
      <c r="AR450"/>
      <c r="AS450"/>
      <c r="AT450" s="74"/>
      <c r="AU450" s="74"/>
      <c r="AV450" s="1289">
        <f>AV448</f>
        <v>0</v>
      </c>
      <c r="AW450" s="1289"/>
      <c r="AX450" s="1289"/>
      <c r="AY450" s="106"/>
      <c r="AZ450" s="1290">
        <f>AZ369</f>
        <v>1</v>
      </c>
      <c r="BA450" s="1290"/>
      <c r="BB450" s="1290"/>
      <c r="BC450" s="70"/>
      <c r="BD450" s="1291">
        <f>BH$442*AZ450</f>
        <v>0</v>
      </c>
      <c r="BE450" s="1291"/>
      <c r="BF450" s="1291"/>
      <c r="BG450"/>
      <c r="BH450" s="1290">
        <f>BH369</f>
        <v>0.4</v>
      </c>
      <c r="BI450" s="1290"/>
      <c r="BJ450" s="1290"/>
      <c r="BK450"/>
      <c r="BL450" s="1291">
        <f t="shared" si="58"/>
        <v>0</v>
      </c>
      <c r="BM450" s="1291"/>
      <c r="BN450" s="1291"/>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289">
        <f>AJ444</f>
        <v>0</v>
      </c>
      <c r="Y451" s="1289"/>
      <c r="Z451" s="1289"/>
      <c r="AA451" s="106"/>
      <c r="AB451" s="1290">
        <f>AB370</f>
        <v>1</v>
      </c>
      <c r="AC451" s="1290"/>
      <c r="AD451" s="1290"/>
      <c r="AE451" s="70"/>
      <c r="AF451" s="1299">
        <f t="shared" si="56"/>
        <v>0</v>
      </c>
      <c r="AG451" s="1299"/>
      <c r="AH451" s="1299"/>
      <c r="AI451"/>
      <c r="AJ451" s="1290">
        <f>AJ370</f>
        <v>1</v>
      </c>
      <c r="AK451" s="1290"/>
      <c r="AL451" s="1290"/>
      <c r="AM451"/>
      <c r="AN451" s="1299">
        <f t="shared" si="57"/>
        <v>0</v>
      </c>
      <c r="AO451" s="1299"/>
      <c r="AP451" s="1299"/>
      <c r="AQ451"/>
      <c r="AR451"/>
      <c r="AS451"/>
      <c r="AT451" s="74"/>
      <c r="AU451" s="74"/>
      <c r="AV451" s="1289">
        <f>BH444</f>
        <v>0</v>
      </c>
      <c r="AW451" s="1289"/>
      <c r="AX451" s="1289"/>
      <c r="AY451" s="106"/>
      <c r="AZ451" s="1290">
        <f>AZ370</f>
        <v>1</v>
      </c>
      <c r="BA451" s="1290"/>
      <c r="BB451" s="1290"/>
      <c r="BC451" s="70"/>
      <c r="BD451" s="1299">
        <f>BH$442*AZ451</f>
        <v>0</v>
      </c>
      <c r="BE451" s="1299"/>
      <c r="BF451" s="1299"/>
      <c r="BG451"/>
      <c r="BH451" s="1290">
        <f>BH370</f>
        <v>1</v>
      </c>
      <c r="BI451" s="1290"/>
      <c r="BJ451" s="1290"/>
      <c r="BK451"/>
      <c r="BL451" s="1299">
        <f t="shared" si="58"/>
        <v>0</v>
      </c>
      <c r="BM451" s="1299"/>
      <c r="BN451" s="1299"/>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funzionamento ausiliario supplementare per il freecooling o l'utilizzo del calore</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295" t="str">
        <f t="shared" si="55"/>
        <v/>
      </c>
      <c r="J453" s="1295"/>
      <c r="K453" s="1295"/>
      <c r="L453" s="1295"/>
      <c r="M453" s="1295"/>
      <c r="N453" s="1295"/>
      <c r="O453" s="1295"/>
      <c r="P453" s="1295"/>
      <c r="Q453" s="1295"/>
      <c r="R453" s="1295"/>
      <c r="S453" s="1295"/>
      <c r="T453" s="507"/>
      <c r="U453" s="506"/>
      <c r="V453" s="507"/>
      <c r="W453" s="507"/>
      <c r="X453" s="1296"/>
      <c r="Y453" s="1296"/>
      <c r="Z453" s="1296"/>
      <c r="AA453" s="450"/>
      <c r="AB453" s="1297">
        <f>AB372</f>
        <v>1</v>
      </c>
      <c r="AC453" s="1297"/>
      <c r="AD453" s="1297"/>
      <c r="AE453" s="477"/>
      <c r="AF453" s="1298">
        <f t="shared" ref="AF453" si="59">AJ$442*AB453</f>
        <v>0</v>
      </c>
      <c r="AG453" s="1298"/>
      <c r="AH453" s="1298"/>
      <c r="AI453" s="283"/>
      <c r="AJ453" s="1297">
        <f>AJ372</f>
        <v>1</v>
      </c>
      <c r="AK453" s="1297"/>
      <c r="AL453" s="1297"/>
      <c r="AM453" s="283"/>
      <c r="AN453" s="1298">
        <f t="shared" ref="AN453" si="60">AJ$443*AJ453</f>
        <v>0</v>
      </c>
      <c r="AO453" s="1298"/>
      <c r="AP453" s="1298"/>
      <c r="AQ453"/>
      <c r="AR453"/>
      <c r="AS453"/>
      <c r="AT453" s="74"/>
      <c r="AU453" s="507"/>
      <c r="AV453" s="1296"/>
      <c r="AW453" s="1296"/>
      <c r="AX453" s="1296"/>
      <c r="AY453" s="450"/>
      <c r="AZ453" s="1297">
        <f>AZ372</f>
        <v>1</v>
      </c>
      <c r="BA453" s="1297"/>
      <c r="BB453" s="1297"/>
      <c r="BC453" s="477"/>
      <c r="BD453" s="1298">
        <f t="shared" ref="BD453" si="61">BH$442*AZ453</f>
        <v>0</v>
      </c>
      <c r="BE453" s="1298"/>
      <c r="BF453" s="1298"/>
      <c r="BG453" s="283"/>
      <c r="BH453" s="1297">
        <f>BH372</f>
        <v>1</v>
      </c>
      <c r="BI453" s="1297"/>
      <c r="BJ453" s="1297"/>
      <c r="BK453" s="283"/>
      <c r="BL453" s="1298">
        <f t="shared" ref="BL453" si="62">BH$443*BH453</f>
        <v>0</v>
      </c>
      <c r="BM453" s="1298"/>
      <c r="BN453" s="1298"/>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333"/>
      <c r="Y454" s="1333"/>
      <c r="Z454" s="1333"/>
      <c r="AA454" s="106"/>
      <c r="AB454" s="1293"/>
      <c r="AC454" s="1293"/>
      <c r="AD454" s="1293"/>
      <c r="AE454" s="70"/>
      <c r="AI454"/>
      <c r="AJ454" s="1266"/>
      <c r="AK454" s="1293"/>
      <c r="AL454" s="1293"/>
      <c r="AM454"/>
      <c r="AN454"/>
      <c r="AO454"/>
      <c r="AP454"/>
      <c r="AQ454"/>
      <c r="AR454"/>
      <c r="AS454"/>
      <c r="AT454" s="74"/>
      <c r="AU454" s="74"/>
      <c r="AV454" s="1333"/>
      <c r="AW454" s="1333"/>
      <c r="AX454" s="1333"/>
      <c r="AY454" s="106"/>
      <c r="AZ454" s="1293"/>
      <c r="BA454" s="1293"/>
      <c r="BB454" s="1293"/>
      <c r="BC454" s="70"/>
      <c r="BG454"/>
      <c r="BH454" s="1266"/>
      <c r="BI454" s="1293"/>
      <c r="BJ454" s="1293"/>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Consumo elettricità aggregati ausiliari «parte fredda»</v>
      </c>
      <c r="J457" s="607"/>
      <c r="K457" s="607"/>
      <c r="L457" s="607"/>
      <c r="M457" s="607"/>
      <c r="N457" s="607"/>
      <c r="O457" s="607"/>
      <c r="P457" s="607"/>
      <c r="Q457" s="607"/>
      <c r="R457" s="607"/>
      <c r="S457" s="607"/>
      <c r="T457" s="607"/>
      <c r="X457" s="1301" t="s">
        <v>127</v>
      </c>
      <c r="Y457" s="1301"/>
      <c r="Z457" s="1301"/>
      <c r="AB457" s="1361" t="str">
        <f>AB429</f>
        <v>Regolazione</v>
      </c>
      <c r="AC457" s="1361"/>
      <c r="AD457" s="1361"/>
      <c r="AF457" s="1301" t="str">
        <f>AF429</f>
        <v>Pe (corr.)</v>
      </c>
      <c r="AG457" s="1301"/>
      <c r="AH457" s="1301"/>
      <c r="AV457" s="1301" t="s">
        <v>127</v>
      </c>
      <c r="AW457" s="1301"/>
      <c r="AX457" s="1301"/>
      <c r="AZ457" s="1361" t="str">
        <f>AZ429</f>
        <v>Regolazione</v>
      </c>
      <c r="BA457" s="1361"/>
      <c r="BB457" s="1361"/>
      <c r="BD457" s="1301" t="str">
        <f>BD429</f>
        <v>Pe (corr.)</v>
      </c>
      <c r="BE457" s="1301"/>
      <c r="BF457" s="1301"/>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Pompe circolazione freddo</v>
      </c>
      <c r="J459" s="95"/>
      <c r="K459" s="95"/>
      <c r="M459" s="95"/>
      <c r="N459" s="95"/>
      <c r="O459" s="95"/>
      <c r="P459" s="95"/>
      <c r="Q459" s="95"/>
      <c r="R459" s="95"/>
      <c r="S459" s="95"/>
      <c r="T459" s="95"/>
      <c r="U459" s="95" t="s">
        <v>83</v>
      </c>
      <c r="V459" s="95"/>
      <c r="W459" s="95"/>
      <c r="X459" s="1333">
        <f>X89</f>
        <v>0</v>
      </c>
      <c r="Y459" s="1333"/>
      <c r="Z459" s="1333"/>
      <c r="AA459" s="106"/>
      <c r="AB459" s="1404">
        <f>-AP566</f>
        <v>0</v>
      </c>
      <c r="AC459" s="1293"/>
      <c r="AD459" s="1293"/>
      <c r="AE459" s="70"/>
      <c r="AF459" s="1333">
        <f>X459*(1+AB459)</f>
        <v>0</v>
      </c>
      <c r="AG459" s="1333"/>
      <c r="AH459" s="1333"/>
      <c r="AI459"/>
      <c r="AJ459"/>
      <c r="AK459"/>
      <c r="AL459"/>
      <c r="AM459"/>
      <c r="AN459"/>
      <c r="AO459"/>
      <c r="AP459"/>
      <c r="AQ459"/>
      <c r="AR459"/>
      <c r="AS459"/>
      <c r="AT459" s="74"/>
      <c r="AU459" s="74"/>
      <c r="AV459" s="1333">
        <f>AV89</f>
        <v>0</v>
      </c>
      <c r="AW459" s="1333"/>
      <c r="AX459" s="1333"/>
      <c r="AY459" s="106"/>
      <c r="AZ459" s="1404">
        <f>-BN566</f>
        <v>0</v>
      </c>
      <c r="BA459" s="1293"/>
      <c r="BB459" s="1293"/>
      <c r="BC459" s="70"/>
      <c r="BD459" s="1333">
        <f>AV459*(1+AZ459)</f>
        <v>0</v>
      </c>
      <c r="BE459" s="1333"/>
      <c r="BF459" s="1333"/>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Ventilatori gruppo freddo</v>
      </c>
      <c r="J460" s="74"/>
      <c r="K460" s="74"/>
      <c r="M460" s="74"/>
      <c r="N460" s="74"/>
      <c r="O460" s="74"/>
      <c r="P460" s="74"/>
      <c r="Q460" s="74"/>
      <c r="R460" s="74"/>
      <c r="S460" s="74"/>
      <c r="T460" s="74"/>
      <c r="U460" s="95" t="s">
        <v>83</v>
      </c>
      <c r="V460" s="74"/>
      <c r="W460" s="74"/>
      <c r="X460" s="1333">
        <f>X91</f>
        <v>0</v>
      </c>
      <c r="Y460" s="1333"/>
      <c r="Z460" s="1333"/>
      <c r="AA460" s="106"/>
      <c r="AB460" s="1404">
        <f>-AP576</f>
        <v>0</v>
      </c>
      <c r="AC460" s="1293"/>
      <c r="AD460" s="1293"/>
      <c r="AE460" s="70"/>
      <c r="AF460" s="1333">
        <f>X460*(1+AB460)</f>
        <v>0</v>
      </c>
      <c r="AG460" s="1333"/>
      <c r="AH460" s="1333"/>
      <c r="AI460"/>
      <c r="AJ460"/>
      <c r="AK460"/>
      <c r="AL460"/>
      <c r="AM460"/>
      <c r="AN460"/>
      <c r="AO460"/>
      <c r="AP460"/>
      <c r="AQ460"/>
      <c r="AR460"/>
      <c r="AS460"/>
      <c r="AT460" s="74"/>
      <c r="AU460" s="74"/>
      <c r="AV460" s="1333">
        <f>AV91</f>
        <v>0</v>
      </c>
      <c r="AW460" s="1333"/>
      <c r="AX460" s="1333"/>
      <c r="AY460" s="106"/>
      <c r="AZ460" s="1404">
        <f>-BN576</f>
        <v>0</v>
      </c>
      <c r="BA460" s="1293"/>
      <c r="BB460" s="1293"/>
      <c r="BC460" s="70"/>
      <c r="BD460" s="1333">
        <f>AV460*(1+AZ460)</f>
        <v>0</v>
      </c>
      <c r="BE460" s="1333"/>
      <c r="BF460" s="1333"/>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328">
        <f>X93</f>
        <v>0</v>
      </c>
      <c r="Y461" s="1328"/>
      <c r="Z461" s="1328"/>
      <c r="AA461" s="184"/>
      <c r="AB461" s="1337">
        <f>-AP586</f>
        <v>0</v>
      </c>
      <c r="AC461" s="1338"/>
      <c r="AD461" s="1338"/>
      <c r="AE461" s="185"/>
      <c r="AF461" s="1328">
        <f>X461*(1+AB461)</f>
        <v>0</v>
      </c>
      <c r="AG461" s="1328"/>
      <c r="AH461" s="1328"/>
      <c r="AI461"/>
      <c r="AJ461"/>
      <c r="AK461"/>
      <c r="AL461"/>
      <c r="AM461"/>
      <c r="AN461"/>
      <c r="AO461"/>
      <c r="AP461"/>
      <c r="AQ461"/>
      <c r="AR461"/>
      <c r="AS461"/>
      <c r="AT461" s="74"/>
      <c r="AU461" s="74"/>
      <c r="AV461" s="1328">
        <f>AV93</f>
        <v>0</v>
      </c>
      <c r="AW461" s="1328"/>
      <c r="AX461" s="1328"/>
      <c r="AY461" s="184"/>
      <c r="AZ461" s="1337">
        <f>-BN586</f>
        <v>0</v>
      </c>
      <c r="BA461" s="1338"/>
      <c r="BB461" s="1338"/>
      <c r="BC461" s="185"/>
      <c r="BD461" s="1328">
        <f>AV461*(1+AZ461)</f>
        <v>0</v>
      </c>
      <c r="BE461" s="1328"/>
      <c r="BF461" s="1328"/>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Totale</v>
      </c>
      <c r="J462" s="115"/>
      <c r="K462" s="115"/>
      <c r="L462" s="115"/>
      <c r="M462" s="115"/>
      <c r="N462" s="115"/>
      <c r="O462" s="115"/>
      <c r="P462" s="115"/>
      <c r="Q462" s="115"/>
      <c r="R462" s="115"/>
      <c r="S462" s="115"/>
      <c r="T462" s="115"/>
      <c r="U462" s="151" t="s">
        <v>83</v>
      </c>
      <c r="V462" s="115"/>
      <c r="W462" s="115"/>
      <c r="X462" s="1303"/>
      <c r="Y462" s="1303"/>
      <c r="Z462" s="1303"/>
      <c r="AA462" s="137"/>
      <c r="AB462" s="1359"/>
      <c r="AC462" s="1359"/>
      <c r="AD462" s="1359"/>
      <c r="AE462" s="178"/>
      <c r="AF462" s="1303">
        <f>SUM(AF459:AH461)</f>
        <v>0</v>
      </c>
      <c r="AG462" s="1303"/>
      <c r="AH462" s="1303"/>
      <c r="AI462" s="179"/>
      <c r="AJ462" s="179"/>
      <c r="AK462" s="179"/>
      <c r="AL462" s="179"/>
      <c r="AM462" s="179"/>
      <c r="AN462" s="179"/>
      <c r="AO462" s="179"/>
      <c r="AP462" s="179"/>
      <c r="AQ462" s="179"/>
      <c r="AR462" s="179"/>
      <c r="AS462" s="179"/>
      <c r="AT462" s="115"/>
      <c r="AU462" s="115"/>
      <c r="AV462" s="1303"/>
      <c r="AW462" s="1303"/>
      <c r="AX462" s="1303"/>
      <c r="AY462" s="137"/>
      <c r="AZ462" s="1359"/>
      <c r="BA462" s="1359"/>
      <c r="BB462" s="1359"/>
      <c r="BC462" s="178"/>
      <c r="BD462" s="1303">
        <f>SUM(BD459:BF461)</f>
        <v>0</v>
      </c>
      <c r="BE462" s="1303"/>
      <c r="BF462" s="1303"/>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Durata</v>
      </c>
      <c r="J464" s="74"/>
      <c r="K464" s="74"/>
      <c r="L464" s="74"/>
      <c r="M464" s="74"/>
      <c r="N464" s="74"/>
      <c r="O464" s="74"/>
      <c r="P464" s="74"/>
      <c r="Q464" s="74"/>
      <c r="R464" s="74"/>
      <c r="S464" s="74"/>
      <c r="T464" s="74"/>
      <c r="U464" s="95" t="s">
        <v>129</v>
      </c>
      <c r="V464" s="74"/>
      <c r="W464" s="74"/>
      <c r="X464" s="1333"/>
      <c r="Y464" s="1333"/>
      <c r="Z464" s="1333"/>
      <c r="AA464" s="106"/>
      <c r="AB464" s="1293"/>
      <c r="AC464" s="1293"/>
      <c r="AD464" s="1293"/>
      <c r="AE464" s="70"/>
      <c r="AF464" s="1266">
        <f>AN408</f>
        <v>0</v>
      </c>
      <c r="AG464" s="1293"/>
      <c r="AH464" s="1293"/>
      <c r="AI464"/>
      <c r="AJ464"/>
      <c r="AK464"/>
      <c r="AL464"/>
      <c r="AM464"/>
      <c r="AN464"/>
      <c r="AO464"/>
      <c r="AP464"/>
      <c r="AQ464"/>
      <c r="AR464"/>
      <c r="AS464"/>
      <c r="AT464" s="74"/>
      <c r="AU464" s="74"/>
      <c r="AV464" s="1333"/>
      <c r="AW464" s="1333"/>
      <c r="AX464" s="1333"/>
      <c r="AY464" s="106"/>
      <c r="AZ464" s="1293"/>
      <c r="BA464" s="1293"/>
      <c r="BB464" s="1293"/>
      <c r="BC464" s="70"/>
      <c r="BD464" s="1266">
        <f>BL408</f>
        <v>0</v>
      </c>
      <c r="BE464" s="1293"/>
      <c r="BF464" s="1293"/>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Totale</v>
      </c>
      <c r="J465" s="155"/>
      <c r="K465" s="155"/>
      <c r="L465" s="155"/>
      <c r="M465" s="155"/>
      <c r="N465" s="155"/>
      <c r="O465" s="155"/>
      <c r="P465" s="155"/>
      <c r="Q465" s="155"/>
      <c r="R465" s="155"/>
      <c r="S465" s="155"/>
      <c r="T465" s="155"/>
      <c r="U465" s="156" t="s">
        <v>20</v>
      </c>
      <c r="V465" s="155"/>
      <c r="W465" s="155"/>
      <c r="X465" s="1380"/>
      <c r="Y465" s="1380"/>
      <c r="Z465" s="1380"/>
      <c r="AA465" s="160"/>
      <c r="AB465" s="1360"/>
      <c r="AC465" s="1360"/>
      <c r="AD465" s="1360"/>
      <c r="AE465" s="186"/>
      <c r="AF465" s="1391">
        <f>IF(AF462*AF464&gt;10000,ROUND(AF462*AF464,-3),ROUND(AF462*AF464,-2))</f>
        <v>0</v>
      </c>
      <c r="AG465" s="1391"/>
      <c r="AH465" s="1391"/>
      <c r="AI465" s="179"/>
      <c r="AJ465" s="179"/>
      <c r="AK465" s="179"/>
      <c r="AL465" s="179"/>
      <c r="AM465" s="179"/>
      <c r="AN465" s="179"/>
      <c r="AO465" s="179"/>
      <c r="AP465" s="179"/>
      <c r="AQ465" s="179"/>
      <c r="AR465" s="179"/>
      <c r="AS465" s="179"/>
      <c r="AT465" s="115"/>
      <c r="AU465" s="115"/>
      <c r="AV465" s="1380"/>
      <c r="AW465" s="1380"/>
      <c r="AX465" s="1380"/>
      <c r="AY465" s="160"/>
      <c r="AZ465" s="1360"/>
      <c r="BA465" s="1360"/>
      <c r="BB465" s="1360"/>
      <c r="BC465" s="186"/>
      <c r="BD465" s="1391">
        <f>IF(BD462*BD464&gt;10000,ROUND(BD462*BD464,-3),ROUND(BD462*BD464,-2))</f>
        <v>0</v>
      </c>
      <c r="BE465" s="1391"/>
      <c r="BF465" s="1391"/>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03"/>
      <c r="Y466" s="1303"/>
      <c r="Z466" s="1303"/>
      <c r="AA466" s="137"/>
      <c r="AB466" s="1359"/>
      <c r="AC466" s="1359"/>
      <c r="AD466" s="1359"/>
      <c r="AE466" s="178"/>
      <c r="AF466" s="1494"/>
      <c r="AG466" s="1494"/>
      <c r="AH466" s="1494"/>
      <c r="AI466" s="179"/>
      <c r="AJ466" s="179"/>
      <c r="AK466" s="179"/>
      <c r="AL466" s="179"/>
      <c r="AM466" s="179"/>
      <c r="AN466" s="179"/>
      <c r="AO466" s="179"/>
      <c r="AP466" s="179"/>
      <c r="AQ466" s="179"/>
      <c r="AR466" s="179"/>
      <c r="AS466" s="179"/>
      <c r="AT466" s="115"/>
      <c r="AU466" s="115"/>
      <c r="AV466" s="1303"/>
      <c r="AW466" s="1303"/>
      <c r="AX466" s="1303"/>
      <c r="AY466" s="137"/>
      <c r="AZ466" s="1359"/>
      <c r="BA466" s="1359"/>
      <c r="BB466" s="1359"/>
      <c r="BC466" s="178"/>
      <c r="BD466" s="1494"/>
      <c r="BE466" s="1494"/>
      <c r="BF466" s="1494"/>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Recupero del calore</v>
      </c>
      <c r="J468" s="607"/>
      <c r="K468" s="607"/>
      <c r="L468" s="607"/>
      <c r="M468" s="607"/>
      <c r="N468" s="607"/>
      <c r="O468" s="607"/>
      <c r="X468" s="1301" t="str">
        <f>X387</f>
        <v>Primavera</v>
      </c>
      <c r="Y468" s="1301"/>
      <c r="Z468" s="1301"/>
      <c r="AA468" s="70"/>
      <c r="AB468" s="1301" t="str">
        <f>AB387</f>
        <v>Estate</v>
      </c>
      <c r="AC468" s="1301"/>
      <c r="AD468" s="1301"/>
      <c r="AE468" s="70"/>
      <c r="AF468" s="1301" t="str">
        <f>AF387</f>
        <v>Autunno</v>
      </c>
      <c r="AG468" s="1301"/>
      <c r="AH468" s="1301"/>
      <c r="AI468" s="70"/>
      <c r="AJ468" s="1301" t="str">
        <f>AJ387</f>
        <v>Inverno</v>
      </c>
      <c r="AK468" s="1301"/>
      <c r="AL468" s="1301"/>
      <c r="AM468" s="70"/>
      <c r="AN468" s="1301" t="str">
        <f>AN387</f>
        <v>Anno</v>
      </c>
      <c r="AO468" s="1301"/>
      <c r="AP468" s="1301"/>
      <c r="AQ468" s="70"/>
      <c r="AR468" s="70"/>
      <c r="AV468" s="1301" t="str">
        <f>AV387</f>
        <v>Primavera</v>
      </c>
      <c r="AW468" s="1301"/>
      <c r="AX468" s="1301"/>
      <c r="AY468" s="70"/>
      <c r="AZ468" s="1301" t="str">
        <f>AZ387</f>
        <v>Estate</v>
      </c>
      <c r="BA468" s="1301"/>
      <c r="BB468" s="1301"/>
      <c r="BC468" s="70"/>
      <c r="BD468" s="1301" t="str">
        <f>BD387</f>
        <v>Autunno</v>
      </c>
      <c r="BE468" s="1301"/>
      <c r="BF468" s="1301"/>
      <c r="BG468" s="70"/>
      <c r="BH468" s="1301" t="str">
        <f>BH387</f>
        <v>Inverno</v>
      </c>
      <c r="BI468" s="1301"/>
      <c r="BJ468" s="1301"/>
      <c r="BK468" s="70"/>
      <c r="BL468" s="1301" t="str">
        <f>BL387</f>
        <v>Anno</v>
      </c>
      <c r="BM468" s="1301"/>
      <c r="BN468" s="1301"/>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Calore disponibile</v>
      </c>
      <c r="K470" s="499"/>
      <c r="L470" s="499"/>
      <c r="M470" s="499"/>
      <c r="N470" s="499"/>
      <c r="O470" s="499"/>
      <c r="P470" s="499"/>
      <c r="Q470" s="499"/>
      <c r="R470" s="499"/>
      <c r="S470" s="499"/>
      <c r="T470" s="499"/>
      <c r="U470" s="499" t="s">
        <v>176</v>
      </c>
      <c r="V470" s="499"/>
      <c r="W470" s="1300">
        <f>W990</f>
        <v>0</v>
      </c>
      <c r="X470" s="1301"/>
      <c r="Y470" s="1301"/>
      <c r="Z470" s="1301"/>
      <c r="AA470" s="1300">
        <f t="shared" ref="AA470" si="63">AA990</f>
        <v>0</v>
      </c>
      <c r="AB470" s="1301"/>
      <c r="AC470" s="1301"/>
      <c r="AD470" s="1301"/>
      <c r="AE470" s="1300">
        <f t="shared" ref="AE470" si="64">AE990</f>
        <v>0</v>
      </c>
      <c r="AF470" s="1301"/>
      <c r="AG470" s="1301"/>
      <c r="AH470" s="1301"/>
      <c r="AI470" s="1300">
        <f t="shared" ref="AI470" si="65">AI990</f>
        <v>0</v>
      </c>
      <c r="AJ470" s="1301"/>
      <c r="AK470" s="1301"/>
      <c r="AL470" s="1301"/>
      <c r="AM470" s="1300">
        <f t="shared" ref="AM470" si="66">AM990</f>
        <v>0</v>
      </c>
      <c r="AN470" s="1301"/>
      <c r="AO470" s="1301"/>
      <c r="AP470" s="1301"/>
      <c r="AQ470" s="560"/>
      <c r="AR470" s="560"/>
      <c r="AS470" s="561"/>
      <c r="AT470" s="561"/>
      <c r="AU470" s="1300">
        <f>AU990</f>
        <v>0</v>
      </c>
      <c r="AV470" s="1301"/>
      <c r="AW470" s="1301"/>
      <c r="AX470" s="1301"/>
      <c r="AY470" s="1300">
        <f t="shared" ref="AY470" si="67">AY990</f>
        <v>0</v>
      </c>
      <c r="AZ470" s="1301"/>
      <c r="BA470" s="1301"/>
      <c r="BB470" s="1301"/>
      <c r="BC470" s="1300">
        <f t="shared" ref="BC470" si="68">BC990</f>
        <v>0</v>
      </c>
      <c r="BD470" s="1301"/>
      <c r="BE470" s="1301"/>
      <c r="BF470" s="1301"/>
      <c r="BG470" s="1300">
        <f t="shared" ref="BG470" si="69">BG990</f>
        <v>0</v>
      </c>
      <c r="BH470" s="1301"/>
      <c r="BI470" s="1301"/>
      <c r="BJ470" s="1301"/>
      <c r="BK470" s="1300">
        <f t="shared" ref="BK470" si="70">BK990</f>
        <v>0</v>
      </c>
      <c r="BL470" s="1301"/>
      <c r="BM470" s="1301"/>
      <c r="BN470" s="1301"/>
      <c r="BO470" s="180"/>
      <c r="BP470" s="124"/>
      <c r="BQ470" s="201"/>
      <c r="BU470" s="876"/>
      <c r="BV470" s="876"/>
      <c r="BW470" s="876"/>
      <c r="BX470" s="876"/>
      <c r="BY470" s="876"/>
      <c r="BZ470" s="876"/>
      <c r="CA470" s="876"/>
      <c r="CB470" s="876"/>
      <c r="CC470" s="876"/>
    </row>
    <row r="471" spans="5:124" ht="17" customHeight="1" outlineLevel="1" x14ac:dyDescent="0.2">
      <c r="G471" s="118"/>
      <c r="I471" t="str">
        <f>I390</f>
        <v>Fabbisogno di calore (riscaldamento, acqua potabile calda, processi)</v>
      </c>
      <c r="K471" s="499"/>
      <c r="L471" s="499"/>
      <c r="M471" s="499"/>
      <c r="N471" s="499"/>
      <c r="O471" s="499"/>
      <c r="P471" s="499"/>
      <c r="Q471" s="499"/>
      <c r="R471" s="499"/>
      <c r="S471" s="499"/>
      <c r="T471" s="499"/>
      <c r="U471" s="499" t="s">
        <v>176</v>
      </c>
      <c r="V471" s="499"/>
      <c r="W471" s="1300">
        <f>W957</f>
        <v>0</v>
      </c>
      <c r="X471" s="1301"/>
      <c r="Y471" s="1301"/>
      <c r="Z471" s="1301"/>
      <c r="AA471" s="1300">
        <f t="shared" ref="AA471" si="71">AA957</f>
        <v>0</v>
      </c>
      <c r="AB471" s="1301"/>
      <c r="AC471" s="1301"/>
      <c r="AD471" s="1301"/>
      <c r="AE471" s="1300">
        <f t="shared" ref="AE471" si="72">AE957</f>
        <v>0</v>
      </c>
      <c r="AF471" s="1301"/>
      <c r="AG471" s="1301"/>
      <c r="AH471" s="1301"/>
      <c r="AI471" s="1300">
        <f t="shared" ref="AI471" si="73">AI957</f>
        <v>0</v>
      </c>
      <c r="AJ471" s="1301"/>
      <c r="AK471" s="1301"/>
      <c r="AL471" s="1301"/>
      <c r="AM471" s="1300">
        <f t="shared" ref="AM471" si="74">AM957</f>
        <v>0</v>
      </c>
      <c r="AN471" s="1301"/>
      <c r="AO471" s="1301"/>
      <c r="AP471" s="1301"/>
      <c r="AQ471" s="560"/>
      <c r="AR471" s="560"/>
      <c r="AS471" s="561"/>
      <c r="AT471" s="561"/>
      <c r="AU471" s="1300">
        <f>AU957</f>
        <v>0</v>
      </c>
      <c r="AV471" s="1301"/>
      <c r="AW471" s="1301"/>
      <c r="AX471" s="1301"/>
      <c r="AY471" s="1300">
        <f t="shared" ref="AY471" si="75">AY957</f>
        <v>0</v>
      </c>
      <c r="AZ471" s="1301"/>
      <c r="BA471" s="1301"/>
      <c r="BB471" s="1301"/>
      <c r="BC471" s="1300">
        <f t="shared" ref="BC471" si="76">BC957</f>
        <v>0</v>
      </c>
      <c r="BD471" s="1301"/>
      <c r="BE471" s="1301"/>
      <c r="BF471" s="1301"/>
      <c r="BG471" s="1300">
        <f t="shared" ref="BG471" si="77">BG957</f>
        <v>0</v>
      </c>
      <c r="BH471" s="1301"/>
      <c r="BI471" s="1301"/>
      <c r="BJ471" s="1301"/>
      <c r="BK471" s="1300">
        <f t="shared" ref="BK471" si="78">BK957</f>
        <v>0</v>
      </c>
      <c r="BL471" s="1301"/>
      <c r="BM471" s="1301"/>
      <c r="BN471" s="1301"/>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Calore utilizzato effettivo (1)</v>
      </c>
      <c r="J472" s="565"/>
      <c r="K472" s="156"/>
      <c r="L472" s="156"/>
      <c r="M472" s="156"/>
      <c r="N472" s="156"/>
      <c r="O472" s="156"/>
      <c r="P472" s="156"/>
      <c r="Q472" s="156"/>
      <c r="R472" s="156"/>
      <c r="S472" s="156"/>
      <c r="T472" s="156"/>
      <c r="U472" s="156" t="s">
        <v>176</v>
      </c>
      <c r="V472" s="156"/>
      <c r="W472" s="1390">
        <f>W994</f>
        <v>0</v>
      </c>
      <c r="X472" s="1390"/>
      <c r="Y472" s="1390"/>
      <c r="Z472" s="1390"/>
      <c r="AA472" s="1390">
        <f t="shared" ref="AA472" si="79">AA994</f>
        <v>0</v>
      </c>
      <c r="AB472" s="1390"/>
      <c r="AC472" s="1390"/>
      <c r="AD472" s="1390"/>
      <c r="AE472" s="1390">
        <f t="shared" ref="AE472" si="80">AE994</f>
        <v>0</v>
      </c>
      <c r="AF472" s="1390"/>
      <c r="AG472" s="1390"/>
      <c r="AH472" s="1390"/>
      <c r="AI472" s="1390">
        <f t="shared" ref="AI472" si="81">AI994</f>
        <v>0</v>
      </c>
      <c r="AJ472" s="1390"/>
      <c r="AK472" s="1390"/>
      <c r="AL472" s="1390"/>
      <c r="AM472" s="1390">
        <f t="shared" ref="AM472" si="82">AM994</f>
        <v>0</v>
      </c>
      <c r="AN472" s="1390"/>
      <c r="AO472" s="1390"/>
      <c r="AP472" s="1390"/>
      <c r="AQ472" s="557"/>
      <c r="AR472" s="558"/>
      <c r="AS472" s="559"/>
      <c r="AT472" s="559"/>
      <c r="AU472" s="1390">
        <f>AU994</f>
        <v>0</v>
      </c>
      <c r="AV472" s="1390"/>
      <c r="AW472" s="1390"/>
      <c r="AX472" s="1390"/>
      <c r="AY472" s="1390">
        <f t="shared" ref="AY472" si="83">AY994</f>
        <v>0</v>
      </c>
      <c r="AZ472" s="1390"/>
      <c r="BA472" s="1390"/>
      <c r="BB472" s="1390"/>
      <c r="BC472" s="1390">
        <f t="shared" ref="BC472" si="84">BC994</f>
        <v>0</v>
      </c>
      <c r="BD472" s="1390"/>
      <c r="BE472" s="1390"/>
      <c r="BF472" s="1390"/>
      <c r="BG472" s="1390">
        <f t="shared" ref="BG472" si="85">BG994</f>
        <v>0</v>
      </c>
      <c r="BH472" s="1390"/>
      <c r="BI472" s="1390"/>
      <c r="BJ472" s="1390"/>
      <c r="BK472" s="1390">
        <f t="shared" ref="BK472" si="86">BK994</f>
        <v>0</v>
      </c>
      <c r="BL472" s="1390"/>
      <c r="BM472" s="1390"/>
      <c r="BN472" s="1390"/>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arrotondati</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367" t="str">
        <f>BF313</f>
        <v>in alto</v>
      </c>
      <c r="BG477" s="1367"/>
      <c r="BH477" s="1367"/>
      <c r="BI477" s="1367"/>
      <c r="BJ477" s="1367"/>
      <c r="BK477" s="1367"/>
      <c r="BL477" s="1367"/>
      <c r="BM477" s="1367"/>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Sì</v>
      </c>
      <c r="I488" s="15"/>
      <c r="J488" s="25"/>
      <c r="S488" s="402" t="str">
        <f>X!$C$82</f>
        <v>acceso/spento</v>
      </c>
      <c r="T488" s="473"/>
      <c r="U488" s="473"/>
      <c r="V488" s="473"/>
      <c r="W488" s="473"/>
      <c r="X488" s="473"/>
      <c r="Y488" s="473"/>
      <c r="Z488" s="473"/>
      <c r="AA488" s="473"/>
      <c r="AB488" s="473"/>
      <c r="AC488" s="473"/>
      <c r="AD488" s="473"/>
      <c r="AE488" s="473"/>
      <c r="AF488" s="473"/>
      <c r="AG488" s="474"/>
      <c r="AK488" s="402" t="str">
        <f>X!$C$82</f>
        <v>acceso/spento</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No</v>
      </c>
      <c r="I489" s="15"/>
      <c r="J489" s="25"/>
      <c r="S489" s="402" t="str">
        <f>X!$C$42</f>
        <v>comando in base al fabbisogno (FU)</v>
      </c>
      <c r="T489" s="473"/>
      <c r="U489" s="473"/>
      <c r="V489" s="473"/>
      <c r="W489" s="473"/>
      <c r="X489" s="473"/>
      <c r="Y489" s="473"/>
      <c r="Z489" s="473"/>
      <c r="AA489" s="473"/>
      <c r="AB489" s="473"/>
      <c r="AC489" s="473"/>
      <c r="AD489" s="473"/>
      <c r="AE489" s="473"/>
      <c r="AF489" s="473"/>
      <c r="AG489" s="474"/>
      <c r="AK489" s="402" t="str">
        <f>X!$C$395</f>
        <v>comando in base al fabbisogno (modulabile CF/CE)</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Secco</v>
      </c>
      <c r="Y494" s="473"/>
      <c r="Z494" s="473"/>
      <c r="AA494" s="473"/>
      <c r="AB494" s="473"/>
      <c r="AC494" s="473"/>
      <c r="AD494" s="474"/>
      <c r="AM494" s="489">
        <v>6</v>
      </c>
      <c r="AN494" s="473"/>
      <c r="AO494" s="473"/>
      <c r="AP494" s="474"/>
      <c r="BA494" s="609" t="str">
        <f>X!C354</f>
        <v>Nessuna funzione aggiuntiva</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Ibrido</v>
      </c>
      <c r="Y495" s="473"/>
      <c r="Z495" s="473"/>
      <c r="AA495" s="473"/>
      <c r="AB495" s="473"/>
      <c r="AC495" s="473"/>
      <c r="AD495" s="474"/>
      <c r="AM495" s="489">
        <v>10</v>
      </c>
      <c r="AN495" s="473"/>
      <c r="AO495" s="473"/>
      <c r="AP495" s="474"/>
      <c r="BA495" s="609" t="str">
        <f>X!C355</f>
        <v>Impianto con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Impianto con recupero del calore</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368" t="s">
        <v>94</v>
      </c>
      <c r="AA503" s="1368"/>
      <c r="AB503" s="1368"/>
      <c r="AD503" s="1293" t="s">
        <v>97</v>
      </c>
      <c r="AE503" s="1293"/>
      <c r="AF503" s="1293"/>
      <c r="AH503" s="1301" t="s">
        <v>98</v>
      </c>
      <c r="AI503" s="1301"/>
      <c r="AJ503" s="1301"/>
      <c r="AL503" s="1301" t="s">
        <v>99</v>
      </c>
      <c r="AM503" s="1301"/>
      <c r="AN503" s="1301"/>
      <c r="AP503" s="1301" t="s">
        <v>101</v>
      </c>
      <c r="AQ503" s="1301"/>
      <c r="AR503" s="1301"/>
      <c r="AS503" s="1301"/>
      <c r="AT503" s="1301"/>
      <c r="AX503" s="1368" t="s">
        <v>94</v>
      </c>
      <c r="AY503" s="1368"/>
      <c r="AZ503" s="1368"/>
      <c r="BB503" s="1293" t="s">
        <v>97</v>
      </c>
      <c r="BC503" s="1293"/>
      <c r="BD503" s="1293"/>
      <c r="BF503" s="1301" t="s">
        <v>98</v>
      </c>
      <c r="BG503" s="1301"/>
      <c r="BH503" s="1301"/>
      <c r="BJ503" s="1301" t="s">
        <v>99</v>
      </c>
      <c r="BK503" s="1301"/>
      <c r="BL503" s="1301"/>
      <c r="BN503" s="1301" t="s">
        <v>101</v>
      </c>
      <c r="BO503" s="1301"/>
      <c r="BP503" s="1301"/>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Pompe circolazione caldo</v>
      </c>
      <c r="I506" s="191"/>
      <c r="J506" s="191"/>
      <c r="K506" s="191"/>
      <c r="L506" s="191"/>
      <c r="M506" s="191"/>
      <c r="N506" s="191"/>
      <c r="O506" s="191"/>
      <c r="P506" s="191"/>
      <c r="Q506" s="191"/>
      <c r="R506" s="191"/>
      <c r="S506" s="191"/>
      <c r="T506" s="191"/>
      <c r="U506" s="191"/>
      <c r="V506" s="191"/>
      <c r="W506" s="191"/>
      <c r="X506" s="191"/>
      <c r="Y506" s="191"/>
      <c r="Z506" s="1294" t="s">
        <v>94</v>
      </c>
      <c r="AA506" s="1294"/>
      <c r="AB506" s="1294"/>
      <c r="AD506" s="1294" t="s">
        <v>97</v>
      </c>
      <c r="AE506" s="1294"/>
      <c r="AF506" s="1294"/>
      <c r="AH506" s="1294" t="s">
        <v>98</v>
      </c>
      <c r="AI506" s="1294"/>
      <c r="AJ506" s="1294"/>
      <c r="AL506" s="1294" t="s">
        <v>99</v>
      </c>
      <c r="AM506" s="1294"/>
      <c r="AN506" s="1294"/>
      <c r="AO506" s="192"/>
      <c r="AP506" s="192"/>
      <c r="AQ506" s="192"/>
      <c r="AR506" s="192"/>
      <c r="AS506" s="192"/>
      <c r="AT506" s="192"/>
      <c r="AU506" s="192"/>
      <c r="AV506" s="192"/>
      <c r="AW506" s="192"/>
      <c r="AX506" s="1294" t="s">
        <v>94</v>
      </c>
      <c r="AY506" s="1294"/>
      <c r="AZ506" s="1294"/>
      <c r="BB506" s="1294" t="s">
        <v>97</v>
      </c>
      <c r="BC506" s="1294"/>
      <c r="BD506" s="1294"/>
      <c r="BF506" s="1294" t="s">
        <v>98</v>
      </c>
      <c r="BG506" s="1294"/>
      <c r="BH506" s="1294"/>
      <c r="BJ506" s="1294" t="s">
        <v>99</v>
      </c>
      <c r="BK506" s="1294"/>
      <c r="BL506" s="1294"/>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acceso/spento</v>
      </c>
      <c r="J507" s="191"/>
      <c r="K507" s="191"/>
      <c r="L507" s="191"/>
      <c r="M507" s="191"/>
      <c r="N507" s="191"/>
      <c r="O507" s="191"/>
      <c r="P507" s="191"/>
      <c r="Q507" s="191"/>
      <c r="R507" s="191"/>
      <c r="S507" s="191"/>
      <c r="T507" s="191"/>
      <c r="U507" s="191"/>
      <c r="V507" s="191"/>
      <c r="W507" s="191"/>
      <c r="X507" s="191"/>
      <c r="Y507" s="191"/>
      <c r="Z507" s="1294">
        <v>0</v>
      </c>
      <c r="AA507" s="1294"/>
      <c r="AB507" s="1294"/>
      <c r="AD507" s="1294">
        <v>0</v>
      </c>
      <c r="AE507" s="1294"/>
      <c r="AF507" s="1294"/>
      <c r="AH507" s="1294">
        <v>0</v>
      </c>
      <c r="AI507" s="1294"/>
      <c r="AJ507" s="1294"/>
      <c r="AL507" s="1294">
        <v>0</v>
      </c>
      <c r="AM507" s="1294"/>
      <c r="AN507" s="1294"/>
      <c r="AO507" s="192"/>
      <c r="AP507" s="1437">
        <f>0</f>
        <v>0</v>
      </c>
      <c r="AQ507" s="1437"/>
      <c r="AR507" s="1437"/>
      <c r="AS507" s="1437"/>
      <c r="AT507" s="1437"/>
      <c r="AU507" s="192"/>
      <c r="AV507" s="192"/>
      <c r="AW507" s="192"/>
      <c r="AX507" s="1294">
        <f>Z507</f>
        <v>0</v>
      </c>
      <c r="AY507" s="1294"/>
      <c r="AZ507" s="1294"/>
      <c r="BB507" s="1294">
        <f>AD507</f>
        <v>0</v>
      </c>
      <c r="BC507" s="1294"/>
      <c r="BD507" s="1294"/>
      <c r="BF507" s="1294">
        <f>AH507</f>
        <v>0</v>
      </c>
      <c r="BG507" s="1294"/>
      <c r="BH507" s="1294"/>
      <c r="BJ507" s="1294">
        <f>AL507</f>
        <v>0</v>
      </c>
      <c r="BK507" s="1294"/>
      <c r="BL507" s="1294"/>
      <c r="BM507" s="192"/>
      <c r="BN507" s="1437">
        <f>AP507</f>
        <v>0</v>
      </c>
      <c r="BO507" s="1437"/>
      <c r="BP507" s="1437"/>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comando in base al fabbisogno (FU)</v>
      </c>
      <c r="J508" s="191"/>
      <c r="K508" s="191"/>
      <c r="L508" s="191"/>
      <c r="M508" s="191"/>
      <c r="N508" s="191"/>
      <c r="O508" s="191"/>
      <c r="P508" s="191"/>
      <c r="Q508" s="191"/>
      <c r="R508" s="191"/>
      <c r="S508" s="191"/>
      <c r="T508" s="191"/>
      <c r="U508" s="191"/>
      <c r="V508" s="191"/>
      <c r="W508" s="191"/>
      <c r="X508" s="191"/>
      <c r="Y508" s="191"/>
      <c r="Z508" s="1294">
        <v>0.3</v>
      </c>
      <c r="AA508" s="1294"/>
      <c r="AB508" s="1294"/>
      <c r="AD508" s="1294">
        <v>0</v>
      </c>
      <c r="AE508" s="1294"/>
      <c r="AF508" s="1294"/>
      <c r="AH508" s="1294">
        <v>0.3</v>
      </c>
      <c r="AI508" s="1294"/>
      <c r="AJ508" s="1294"/>
      <c r="AL508" s="1294">
        <v>0.5</v>
      </c>
      <c r="AM508" s="1294"/>
      <c r="AN508" s="1294"/>
      <c r="AO508" s="192"/>
      <c r="AP508" s="1437">
        <f>AVERAGE(Z508:AN508)</f>
        <v>0.27500000000000002</v>
      </c>
      <c r="AQ508" s="1437"/>
      <c r="AR508" s="1437"/>
      <c r="AS508" s="1437"/>
      <c r="AT508" s="1437"/>
      <c r="AU508" s="192"/>
      <c r="AV508" s="192"/>
      <c r="AW508" s="192"/>
      <c r="AX508" s="1294">
        <f>Z508</f>
        <v>0.3</v>
      </c>
      <c r="AY508" s="1294"/>
      <c r="AZ508" s="1294"/>
      <c r="BB508" s="1294">
        <f>AD508</f>
        <v>0</v>
      </c>
      <c r="BC508" s="1294"/>
      <c r="BD508" s="1294"/>
      <c r="BF508" s="1294">
        <f>AH508</f>
        <v>0.3</v>
      </c>
      <c r="BG508" s="1294"/>
      <c r="BH508" s="1294"/>
      <c r="BJ508" s="1294">
        <f>AL508</f>
        <v>0.5</v>
      </c>
      <c r="BK508" s="1294"/>
      <c r="BL508" s="1294"/>
      <c r="BM508" s="192"/>
      <c r="BN508" s="1437">
        <f>AP508</f>
        <v>0.27500000000000002</v>
      </c>
      <c r="BO508" s="1437"/>
      <c r="BP508" s="1437"/>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400">
        <f>AB79</f>
        <v>0</v>
      </c>
      <c r="AA510" s="1400"/>
      <c r="AB510" s="1400"/>
      <c r="AC510" s="1400"/>
      <c r="AD510" s="1400"/>
      <c r="AE510" s="1400"/>
      <c r="AF510" s="1400"/>
      <c r="AG510" s="1400"/>
      <c r="AH510" s="1400"/>
      <c r="AI510" s="1400"/>
      <c r="AJ510" s="1400"/>
      <c r="AK510" s="1400"/>
      <c r="AL510" s="1400"/>
      <c r="AM510" s="1400"/>
      <c r="AN510" s="1400"/>
      <c r="AO510" s="192"/>
      <c r="AP510" s="192"/>
      <c r="AQ510" s="192"/>
      <c r="AR510" s="192"/>
      <c r="AS510" s="192"/>
      <c r="AT510" s="192"/>
      <c r="AU510" s="192"/>
      <c r="AV510" s="192"/>
      <c r="AW510" s="192"/>
      <c r="AX510" s="1400">
        <f>AZ79</f>
        <v>0</v>
      </c>
      <c r="AY510" s="1400"/>
      <c r="AZ510" s="1400"/>
      <c r="BA510" s="1400"/>
      <c r="BB510" s="1400"/>
      <c r="BC510" s="1400"/>
      <c r="BD510" s="1400"/>
      <c r="BE510" s="1400"/>
      <c r="BF510" s="1400"/>
      <c r="BG510" s="1400"/>
      <c r="BH510" s="1400"/>
      <c r="BI510" s="1400"/>
      <c r="BJ510" s="1400"/>
      <c r="BK510" s="1400"/>
      <c r="BL510" s="1400"/>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30">
        <f>IF($I508=$Z510,Z508,Z507)</f>
        <v>0</v>
      </c>
      <c r="AA511" s="1330"/>
      <c r="AB511" s="1330"/>
      <c r="AC511" s="27"/>
      <c r="AD511" s="1330">
        <f>IF($I508=$Z510,AD508,AD507)</f>
        <v>0</v>
      </c>
      <c r="AE511" s="1330"/>
      <c r="AF511" s="1330"/>
      <c r="AG511" s="27"/>
      <c r="AH511" s="1330">
        <f>IF($I508=$Z510,AH508,AH507)</f>
        <v>0</v>
      </c>
      <c r="AI511" s="1330"/>
      <c r="AJ511" s="1330"/>
      <c r="AK511" s="27"/>
      <c r="AL511" s="1330">
        <f>IF($I508=$Z510,AL508,AL507)</f>
        <v>0</v>
      </c>
      <c r="AM511" s="1330"/>
      <c r="AN511" s="1330"/>
      <c r="AO511" s="192"/>
      <c r="AP511" s="1329">
        <f>IF(AP512=0,0,1-AP513/AP512)</f>
        <v>0</v>
      </c>
      <c r="AQ511" s="1329"/>
      <c r="AR511" s="1329"/>
      <c r="AS511" s="1329"/>
      <c r="AT511" s="1329"/>
      <c r="AU511" s="192"/>
      <c r="AV511" s="192"/>
      <c r="AW511" s="192"/>
      <c r="AX511" s="1330">
        <f>IF($I508=$AX510,AX508,AX507)</f>
        <v>0</v>
      </c>
      <c r="AY511" s="1330"/>
      <c r="AZ511" s="1330"/>
      <c r="BA511" s="27"/>
      <c r="BB511" s="1330">
        <f>IF($I508=$AX510,BB508,BB507)</f>
        <v>0</v>
      </c>
      <c r="BC511" s="1330"/>
      <c r="BD511" s="1330"/>
      <c r="BE511" s="27"/>
      <c r="BF511" s="1330">
        <f>IF($I508=$AX510,BF508,BF507)</f>
        <v>0</v>
      </c>
      <c r="BG511" s="1330"/>
      <c r="BH511" s="1330"/>
      <c r="BI511" s="27"/>
      <c r="BJ511" s="1330">
        <f>IF($I508=$AX510,BJ508,BJ507)</f>
        <v>0</v>
      </c>
      <c r="BK511" s="1330"/>
      <c r="BL511" s="1330"/>
      <c r="BM511" s="192"/>
      <c r="BN511" s="1329">
        <f>IF(BN512=0,0,1-BN513/BN512)</f>
        <v>0</v>
      </c>
      <c r="BO511" s="1329"/>
      <c r="BP511" s="1329"/>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280">
        <f>X187</f>
        <v>0</v>
      </c>
      <c r="AA512" s="1280"/>
      <c r="AB512" s="1280"/>
      <c r="AD512" s="1280">
        <f>AB187</f>
        <v>0</v>
      </c>
      <c r="AE512" s="1280"/>
      <c r="AF512" s="1280"/>
      <c r="AH512" s="1280">
        <f>AF187</f>
        <v>0</v>
      </c>
      <c r="AI512" s="1280"/>
      <c r="AJ512" s="1280"/>
      <c r="AL512" s="1280">
        <f>AJ187</f>
        <v>0</v>
      </c>
      <c r="AM512" s="1280"/>
      <c r="AN512" s="1280"/>
      <c r="AO512" s="192"/>
      <c r="AP512" s="1280">
        <f>SUM(Z512:AN512)</f>
        <v>0</v>
      </c>
      <c r="AQ512" s="1280"/>
      <c r="AR512" s="1280"/>
      <c r="AS512" s="1280"/>
      <c r="AT512" s="1280"/>
      <c r="AU512" s="192"/>
      <c r="AV512" s="192"/>
      <c r="AW512" s="192"/>
      <c r="AX512" s="1280">
        <f>AV187</f>
        <v>0</v>
      </c>
      <c r="AY512" s="1280"/>
      <c r="AZ512" s="1280"/>
      <c r="BB512" s="1280">
        <f>AZ187</f>
        <v>0</v>
      </c>
      <c r="BC512" s="1280"/>
      <c r="BD512" s="1280"/>
      <c r="BF512" s="1280">
        <f>BD187</f>
        <v>0</v>
      </c>
      <c r="BG512" s="1280"/>
      <c r="BH512" s="1280"/>
      <c r="BJ512" s="1280">
        <f>BH187</f>
        <v>0</v>
      </c>
      <c r="BK512" s="1280"/>
      <c r="BL512" s="1280"/>
      <c r="BM512" s="192"/>
      <c r="BN512" s="1280">
        <f>SUM(AX512:BL512)</f>
        <v>0</v>
      </c>
      <c r="BO512" s="1280"/>
      <c r="BP512" s="1280"/>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292">
        <f>Z512-Z511*Z512</f>
        <v>0</v>
      </c>
      <c r="AA513" s="1292"/>
      <c r="AB513" s="1292"/>
      <c r="AC513" s="194"/>
      <c r="AD513" s="1292">
        <f>AD512-AD511*AD512</f>
        <v>0</v>
      </c>
      <c r="AE513" s="1292"/>
      <c r="AF513" s="1292"/>
      <c r="AG513" s="194"/>
      <c r="AH513" s="1292">
        <f>AH512-AH511*AH512</f>
        <v>0</v>
      </c>
      <c r="AI513" s="1292"/>
      <c r="AJ513" s="1292"/>
      <c r="AK513" s="194"/>
      <c r="AL513" s="1292">
        <f>AL512-AL511*AL512</f>
        <v>0</v>
      </c>
      <c r="AM513" s="1292"/>
      <c r="AN513" s="1292"/>
      <c r="AO513" s="27"/>
      <c r="AP513" s="1292">
        <f>SUM(Z513:AN513)</f>
        <v>0</v>
      </c>
      <c r="AQ513" s="1292"/>
      <c r="AR513" s="1292"/>
      <c r="AS513" s="1292"/>
      <c r="AT513" s="1292"/>
      <c r="AV513" s="192"/>
      <c r="AW513" s="192"/>
      <c r="AX513" s="1370">
        <f>AX512-AX511*AX512</f>
        <v>0</v>
      </c>
      <c r="AY513" s="1370"/>
      <c r="AZ513" s="1370"/>
      <c r="BA513" s="195"/>
      <c r="BB513" s="1370">
        <f>BB512-BB511*BB512</f>
        <v>0</v>
      </c>
      <c r="BC513" s="1370"/>
      <c r="BD513" s="1370"/>
      <c r="BE513" s="195"/>
      <c r="BF513" s="1370">
        <f>BF512-BF511*BF512</f>
        <v>0</v>
      </c>
      <c r="BG513" s="1370"/>
      <c r="BH513" s="1370"/>
      <c r="BI513" s="195"/>
      <c r="BJ513" s="1370">
        <f>BJ512-BJ511*BJ512</f>
        <v>0</v>
      </c>
      <c r="BK513" s="1370"/>
      <c r="BL513" s="1370"/>
      <c r="BN513" s="1370">
        <f>SUM(AX513:BL513)</f>
        <v>0</v>
      </c>
      <c r="BO513" s="1370"/>
      <c r="BP513" s="1370"/>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Pompe nebulizzazione</v>
      </c>
      <c r="I516" s="191"/>
      <c r="J516" s="191"/>
      <c r="K516" s="191"/>
      <c r="L516" s="191"/>
      <c r="M516" s="191"/>
      <c r="N516" s="191"/>
      <c r="O516" s="191"/>
      <c r="P516" s="191"/>
      <c r="Q516" s="191"/>
      <c r="R516" s="191"/>
      <c r="S516" s="191"/>
      <c r="T516" s="191"/>
      <c r="U516" s="191"/>
      <c r="V516" s="191"/>
      <c r="W516" s="191"/>
      <c r="X516" s="191"/>
      <c r="Y516" s="191"/>
      <c r="Z516" s="1294" t="s">
        <v>94</v>
      </c>
      <c r="AA516" s="1294"/>
      <c r="AB516" s="1294"/>
      <c r="AD516" s="1294" t="s">
        <v>97</v>
      </c>
      <c r="AE516" s="1294"/>
      <c r="AF516" s="1294"/>
      <c r="AH516" s="1294" t="s">
        <v>98</v>
      </c>
      <c r="AI516" s="1294"/>
      <c r="AJ516" s="1294"/>
      <c r="AL516" s="1294" t="s">
        <v>99</v>
      </c>
      <c r="AM516" s="1294"/>
      <c r="AN516" s="1294"/>
      <c r="AO516" s="192"/>
      <c r="AP516" s="192"/>
      <c r="AQ516" s="192"/>
      <c r="AR516" s="192"/>
      <c r="AS516" s="192"/>
      <c r="AT516" s="192"/>
      <c r="AU516" s="192"/>
      <c r="AV516" s="192"/>
      <c r="AW516" s="192"/>
      <c r="AX516" s="1294" t="s">
        <v>94</v>
      </c>
      <c r="AY516" s="1294"/>
      <c r="AZ516" s="1294"/>
      <c r="BB516" s="1294" t="s">
        <v>97</v>
      </c>
      <c r="BC516" s="1294"/>
      <c r="BD516" s="1294"/>
      <c r="BF516" s="1294" t="s">
        <v>98</v>
      </c>
      <c r="BG516" s="1294"/>
      <c r="BH516" s="1294"/>
      <c r="BJ516" s="1294" t="s">
        <v>99</v>
      </c>
      <c r="BK516" s="1294"/>
      <c r="BL516" s="1294"/>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acceso/spento</v>
      </c>
      <c r="J517" s="191"/>
      <c r="K517" s="191"/>
      <c r="L517" s="191"/>
      <c r="M517" s="191"/>
      <c r="N517" s="191"/>
      <c r="O517" s="191"/>
      <c r="P517" s="191"/>
      <c r="Q517" s="191"/>
      <c r="R517" s="191"/>
      <c r="S517" s="191"/>
      <c r="T517" s="191"/>
      <c r="U517" s="191"/>
      <c r="V517" s="191"/>
      <c r="W517" s="191"/>
      <c r="X517" s="191"/>
      <c r="Y517" s="191"/>
      <c r="Z517" s="1422">
        <v>0</v>
      </c>
      <c r="AA517" s="1422"/>
      <c r="AB517" s="1422"/>
      <c r="AC517" s="198"/>
      <c r="AD517" s="1422">
        <v>0</v>
      </c>
      <c r="AE517" s="1422"/>
      <c r="AF517" s="1422"/>
      <c r="AG517" s="198"/>
      <c r="AH517" s="1422">
        <v>0</v>
      </c>
      <c r="AI517" s="1422"/>
      <c r="AJ517" s="1422"/>
      <c r="AK517" s="198"/>
      <c r="AL517" s="1422">
        <v>0</v>
      </c>
      <c r="AM517" s="1422"/>
      <c r="AN517" s="1422"/>
      <c r="AO517" s="192"/>
      <c r="AP517" s="192"/>
      <c r="AQ517" s="192"/>
      <c r="AR517" s="192"/>
      <c r="AS517" s="192"/>
      <c r="AT517" s="192"/>
      <c r="AU517" s="192"/>
      <c r="AV517" s="192"/>
      <c r="AW517" s="192"/>
      <c r="AX517" s="1294">
        <f>Z517</f>
        <v>0</v>
      </c>
      <c r="AY517" s="1294"/>
      <c r="AZ517" s="1294"/>
      <c r="BB517" s="1294">
        <f>AD517</f>
        <v>0</v>
      </c>
      <c r="BC517" s="1294"/>
      <c r="BD517" s="1294"/>
      <c r="BF517" s="1294">
        <f>AH517</f>
        <v>0</v>
      </c>
      <c r="BG517" s="1294"/>
      <c r="BH517" s="1294"/>
      <c r="BJ517" s="1294">
        <f>AL517</f>
        <v>0</v>
      </c>
      <c r="BK517" s="1294"/>
      <c r="BL517" s="1294"/>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comando in base al fabbisogno (FU)</v>
      </c>
      <c r="J518" s="191"/>
      <c r="K518" s="191"/>
      <c r="L518" s="191"/>
      <c r="M518" s="191"/>
      <c r="N518" s="191"/>
      <c r="O518" s="191"/>
      <c r="P518" s="191"/>
      <c r="Q518" s="191"/>
      <c r="R518" s="191"/>
      <c r="S518" s="191"/>
      <c r="T518" s="191"/>
      <c r="U518" s="191"/>
      <c r="V518" s="191"/>
      <c r="W518" s="191"/>
      <c r="X518" s="191"/>
      <c r="Y518" s="191"/>
      <c r="Z518" s="1422">
        <v>0.3</v>
      </c>
      <c r="AA518" s="1422"/>
      <c r="AB518" s="1422"/>
      <c r="AC518" s="198"/>
      <c r="AD518" s="1422">
        <v>0</v>
      </c>
      <c r="AE518" s="1422"/>
      <c r="AF518" s="1422"/>
      <c r="AG518" s="198"/>
      <c r="AH518" s="1422">
        <v>0.3</v>
      </c>
      <c r="AI518" s="1422"/>
      <c r="AJ518" s="1422"/>
      <c r="AK518" s="198"/>
      <c r="AL518" s="1422">
        <v>0.5</v>
      </c>
      <c r="AM518" s="1422"/>
      <c r="AN518" s="1422"/>
      <c r="AO518" s="192"/>
      <c r="AP518" s="192"/>
      <c r="AQ518" s="192"/>
      <c r="AR518" s="192"/>
      <c r="AS518" s="192"/>
      <c r="AT518" s="192"/>
      <c r="AU518" s="192"/>
      <c r="AV518" s="192"/>
      <c r="AW518" s="192"/>
      <c r="AX518" s="1294">
        <f>Z518</f>
        <v>0.3</v>
      </c>
      <c r="AY518" s="1294"/>
      <c r="AZ518" s="1294"/>
      <c r="BB518" s="1294">
        <f>AD518</f>
        <v>0</v>
      </c>
      <c r="BC518" s="1294"/>
      <c r="BD518" s="1294"/>
      <c r="BF518" s="1294">
        <f>AH518</f>
        <v>0.3</v>
      </c>
      <c r="BG518" s="1294"/>
      <c r="BH518" s="1294"/>
      <c r="BJ518" s="1294">
        <f>AL518</f>
        <v>0.5</v>
      </c>
      <c r="BK518" s="1294"/>
      <c r="BL518" s="1294"/>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400">
        <f>AB81</f>
        <v>0</v>
      </c>
      <c r="AA520" s="1400"/>
      <c r="AB520" s="1400"/>
      <c r="AC520" s="1400"/>
      <c r="AD520" s="1400"/>
      <c r="AE520" s="1400"/>
      <c r="AF520" s="1400"/>
      <c r="AG520" s="1400"/>
      <c r="AH520" s="1400"/>
      <c r="AI520" s="1400"/>
      <c r="AJ520" s="1400"/>
      <c r="AK520" s="1400"/>
      <c r="AL520" s="1400"/>
      <c r="AM520" s="1400"/>
      <c r="AN520" s="1400"/>
      <c r="AO520" s="192"/>
      <c r="AP520" s="192"/>
      <c r="AQ520" s="192"/>
      <c r="AR520" s="192"/>
      <c r="AS520" s="192"/>
      <c r="AT520" s="192"/>
      <c r="AU520" s="192"/>
      <c r="AV520" s="192"/>
      <c r="AW520" s="192"/>
      <c r="AX520" s="1400">
        <f>AZ81</f>
        <v>0</v>
      </c>
      <c r="AY520" s="1400"/>
      <c r="AZ520" s="1400"/>
      <c r="BA520" s="1400"/>
      <c r="BB520" s="1400"/>
      <c r="BC520" s="1400"/>
      <c r="BD520" s="1400"/>
      <c r="BE520" s="1400"/>
      <c r="BF520" s="1400"/>
      <c r="BG520" s="1400"/>
      <c r="BH520" s="1400"/>
      <c r="BI520" s="1400"/>
      <c r="BJ520" s="1400"/>
      <c r="BK520" s="1400"/>
      <c r="BL520" s="1400"/>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30">
        <f>IF($I518=$Z520,Z518,Z517)</f>
        <v>0</v>
      </c>
      <c r="AA521" s="1330"/>
      <c r="AB521" s="1330"/>
      <c r="AC521" s="27"/>
      <c r="AD521" s="1330">
        <f>IF($I518=$Z520,AD518,AD517)</f>
        <v>0</v>
      </c>
      <c r="AE521" s="1330"/>
      <c r="AF521" s="1330"/>
      <c r="AG521" s="27"/>
      <c r="AH521" s="1330">
        <f>IF($I518=$Z520,AH518,AH517)</f>
        <v>0</v>
      </c>
      <c r="AI521" s="1330"/>
      <c r="AJ521" s="1330"/>
      <c r="AK521" s="27"/>
      <c r="AL521" s="1330">
        <f>IF($I518=$Z520,AL518,AL517)</f>
        <v>0</v>
      </c>
      <c r="AM521" s="1330"/>
      <c r="AN521" s="1330"/>
      <c r="AO521" s="192"/>
      <c r="AP521" s="1329">
        <f>IF(AP522=0,0,1-AP523/AP522)</f>
        <v>0</v>
      </c>
      <c r="AQ521" s="1329"/>
      <c r="AR521" s="1329"/>
      <c r="AS521" s="1329"/>
      <c r="AT521" s="1329"/>
      <c r="AU521" s="192"/>
      <c r="AV521" s="192"/>
      <c r="AW521" s="192"/>
      <c r="AX521" s="1330">
        <f>IF($I518=$AX520,AX518,AX517)</f>
        <v>0</v>
      </c>
      <c r="AY521" s="1330"/>
      <c r="AZ521" s="1330"/>
      <c r="BA521" s="27"/>
      <c r="BB521" s="1330">
        <f>IF($I518=$AX520,BB518,BB517)</f>
        <v>0</v>
      </c>
      <c r="BC521" s="1330"/>
      <c r="BD521" s="1330"/>
      <c r="BE521" s="27"/>
      <c r="BF521" s="1330">
        <f>IF($I518=$AX520,BF518,BF517)</f>
        <v>0</v>
      </c>
      <c r="BG521" s="1330"/>
      <c r="BH521" s="1330"/>
      <c r="BI521" s="27"/>
      <c r="BJ521" s="1330">
        <f>IF($I518=$AX520,BJ518,BJ517)</f>
        <v>0</v>
      </c>
      <c r="BK521" s="1330"/>
      <c r="BL521" s="1330"/>
      <c r="BM521" s="192"/>
      <c r="BN521" s="1329">
        <f>IF(BN522=0,0,1-BN523/BN522)</f>
        <v>0</v>
      </c>
      <c r="BO521" s="1329"/>
      <c r="BP521" s="1329"/>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280">
        <f>Z$512</f>
        <v>0</v>
      </c>
      <c r="AA522" s="1280"/>
      <c r="AB522" s="1280"/>
      <c r="AD522" s="1280">
        <f>AD$512</f>
        <v>0</v>
      </c>
      <c r="AE522" s="1280"/>
      <c r="AF522" s="1280"/>
      <c r="AH522" s="1280">
        <f>AH$512</f>
        <v>0</v>
      </c>
      <c r="AI522" s="1280"/>
      <c r="AJ522" s="1280"/>
      <c r="AL522" s="1280">
        <f>AL$512</f>
        <v>0</v>
      </c>
      <c r="AM522" s="1280"/>
      <c r="AN522" s="1280"/>
      <c r="AO522" s="192"/>
      <c r="AP522" s="1280">
        <f>SUM(Z522:AN522)</f>
        <v>0</v>
      </c>
      <c r="AQ522" s="1280"/>
      <c r="AR522" s="1280"/>
      <c r="AS522" s="1280"/>
      <c r="AT522" s="1280"/>
      <c r="AU522" s="192"/>
      <c r="AV522" s="192"/>
      <c r="AW522" s="192"/>
      <c r="AX522" s="1280">
        <f>AX$512</f>
        <v>0</v>
      </c>
      <c r="AY522" s="1280"/>
      <c r="AZ522" s="1280"/>
      <c r="BB522" s="1280">
        <f>BB$512</f>
        <v>0</v>
      </c>
      <c r="BC522" s="1280"/>
      <c r="BD522" s="1280"/>
      <c r="BF522" s="1280">
        <f>BF$512</f>
        <v>0</v>
      </c>
      <c r="BG522" s="1280"/>
      <c r="BH522" s="1280"/>
      <c r="BJ522" s="1280">
        <f>BJ$512</f>
        <v>0</v>
      </c>
      <c r="BK522" s="1280"/>
      <c r="BL522" s="1280"/>
      <c r="BM522" s="192"/>
      <c r="BN522" s="1280">
        <f>SUM(AX522:BL522)</f>
        <v>0</v>
      </c>
      <c r="BO522" s="1280"/>
      <c r="BP522" s="1280"/>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292">
        <f>Z522-Z521*Z522</f>
        <v>0</v>
      </c>
      <c r="AA523" s="1292"/>
      <c r="AB523" s="1292"/>
      <c r="AC523" s="194"/>
      <c r="AD523" s="1292">
        <f>AD522-AD521*AD522</f>
        <v>0</v>
      </c>
      <c r="AE523" s="1292"/>
      <c r="AF523" s="1292"/>
      <c r="AG523" s="194"/>
      <c r="AH523" s="1292">
        <f>AH522-AH521*AH522</f>
        <v>0</v>
      </c>
      <c r="AI523" s="1292"/>
      <c r="AJ523" s="1292"/>
      <c r="AK523" s="194"/>
      <c r="AL523" s="1292">
        <f>AL522-AL521*AL522</f>
        <v>0</v>
      </c>
      <c r="AM523" s="1292"/>
      <c r="AN523" s="1292"/>
      <c r="AO523" s="27"/>
      <c r="AP523" s="1292">
        <f>SUM(Z523:AN523)</f>
        <v>0</v>
      </c>
      <c r="AQ523" s="1292"/>
      <c r="AR523" s="1292"/>
      <c r="AS523" s="1292"/>
      <c r="AT523" s="1292"/>
      <c r="AV523" s="192"/>
      <c r="AW523" s="192"/>
      <c r="AX523" s="1370">
        <f>AX522-AX521*AX522</f>
        <v>0</v>
      </c>
      <c r="AY523" s="1370"/>
      <c r="AZ523" s="1370"/>
      <c r="BA523" s="195"/>
      <c r="BB523" s="1370">
        <f>BB522-BB521*BB522</f>
        <v>0</v>
      </c>
      <c r="BC523" s="1370"/>
      <c r="BD523" s="1370"/>
      <c r="BE523" s="195"/>
      <c r="BF523" s="1370">
        <f>BF522-BF521*BF522</f>
        <v>0</v>
      </c>
      <c r="BG523" s="1370"/>
      <c r="BH523" s="1370"/>
      <c r="BI523" s="195"/>
      <c r="BJ523" s="1370">
        <f>BJ522-BJ521*BJ522</f>
        <v>0</v>
      </c>
      <c r="BK523" s="1370"/>
      <c r="BL523" s="1370"/>
      <c r="BN523" s="1370">
        <f>SUM(AX523:BL523)</f>
        <v>0</v>
      </c>
      <c r="BO523" s="1370"/>
      <c r="BP523" s="1370"/>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Ventilatori raffreddato /condensatore</v>
      </c>
      <c r="I526" s="191"/>
      <c r="J526" s="191"/>
      <c r="K526" s="191"/>
      <c r="L526" s="191"/>
      <c r="M526" s="191"/>
      <c r="N526" s="191"/>
      <c r="O526" s="191"/>
      <c r="P526" s="191"/>
      <c r="Q526" s="191"/>
      <c r="R526" s="191"/>
      <c r="S526" s="191"/>
      <c r="T526" s="191"/>
      <c r="U526" s="191"/>
      <c r="V526" s="191"/>
      <c r="W526" s="191"/>
      <c r="X526" s="191"/>
      <c r="Y526" s="191"/>
      <c r="Z526" s="1294" t="s">
        <v>94</v>
      </c>
      <c r="AA526" s="1294"/>
      <c r="AB526" s="1294"/>
      <c r="AD526" s="1294" t="s">
        <v>97</v>
      </c>
      <c r="AE526" s="1294"/>
      <c r="AF526" s="1294"/>
      <c r="AH526" s="1294" t="s">
        <v>98</v>
      </c>
      <c r="AI526" s="1294"/>
      <c r="AJ526" s="1294"/>
      <c r="AL526" s="1294" t="s">
        <v>99</v>
      </c>
      <c r="AM526" s="1294"/>
      <c r="AN526" s="1294"/>
      <c r="AO526" s="124"/>
      <c r="AP526" s="124"/>
      <c r="AQ526" s="124"/>
      <c r="AR526" s="124"/>
      <c r="AS526" s="124"/>
      <c r="AT526" s="124"/>
      <c r="AU526" s="197"/>
      <c r="AX526" s="1294" t="s">
        <v>94</v>
      </c>
      <c r="AY526" s="1294"/>
      <c r="AZ526" s="1294"/>
      <c r="BB526" s="1294" t="s">
        <v>97</v>
      </c>
      <c r="BC526" s="1294"/>
      <c r="BD526" s="1294"/>
      <c r="BF526" s="1294" t="s">
        <v>98</v>
      </c>
      <c r="BG526" s="1294"/>
      <c r="BH526" s="1294"/>
      <c r="BJ526" s="1294" t="s">
        <v>99</v>
      </c>
      <c r="BK526" s="1294"/>
      <c r="BL526" s="1294"/>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acceso/spento</v>
      </c>
      <c r="J527" s="191"/>
      <c r="K527" s="191"/>
      <c r="L527" s="191"/>
      <c r="M527" s="191"/>
      <c r="N527" s="191"/>
      <c r="O527" s="191"/>
      <c r="P527" s="191"/>
      <c r="Q527" s="191"/>
      <c r="R527" s="191"/>
      <c r="S527" s="191"/>
      <c r="T527" s="191"/>
      <c r="U527" s="191"/>
      <c r="V527" s="191"/>
      <c r="W527" s="191"/>
      <c r="X527" s="191"/>
      <c r="Y527" s="191"/>
      <c r="Z527" s="1422">
        <v>0</v>
      </c>
      <c r="AA527" s="1422"/>
      <c r="AB527" s="1422"/>
      <c r="AC527" s="198"/>
      <c r="AD527" s="1422">
        <v>0</v>
      </c>
      <c r="AE527" s="1422"/>
      <c r="AF527" s="1422"/>
      <c r="AG527" s="198"/>
      <c r="AH527" s="1422">
        <v>0</v>
      </c>
      <c r="AI527" s="1422"/>
      <c r="AJ527" s="1422"/>
      <c r="AK527" s="198"/>
      <c r="AL527" s="1422">
        <v>0</v>
      </c>
      <c r="AM527" s="1422"/>
      <c r="AN527" s="1422"/>
      <c r="AO527" s="124"/>
      <c r="AP527" s="124"/>
      <c r="AQ527" s="124"/>
      <c r="AR527" s="124"/>
      <c r="AS527" s="124"/>
      <c r="AT527" s="124"/>
      <c r="AU527" s="197"/>
      <c r="AX527" s="1294">
        <f>Z527</f>
        <v>0</v>
      </c>
      <c r="AY527" s="1294"/>
      <c r="AZ527" s="1294"/>
      <c r="BB527" s="1294">
        <f>AD527</f>
        <v>0</v>
      </c>
      <c r="BC527" s="1294"/>
      <c r="BD527" s="1294"/>
      <c r="BF527" s="1294">
        <f>AH527</f>
        <v>0</v>
      </c>
      <c r="BG527" s="1294"/>
      <c r="BH527" s="1294"/>
      <c r="BJ527" s="1294">
        <f>AL527</f>
        <v>0</v>
      </c>
      <c r="BK527" s="1294"/>
      <c r="BL527" s="1294"/>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comando in base al fabbisogno (modulabile CF/CE)</v>
      </c>
      <c r="J528" s="191"/>
      <c r="K528" s="191"/>
      <c r="L528" s="191"/>
      <c r="M528" s="191"/>
      <c r="N528" s="191"/>
      <c r="O528" s="191"/>
      <c r="P528" s="191"/>
      <c r="Q528" s="191"/>
      <c r="R528" s="191"/>
      <c r="S528" s="191"/>
      <c r="T528" s="191"/>
      <c r="U528" s="191"/>
      <c r="V528" s="191"/>
      <c r="W528" s="191"/>
      <c r="X528" s="191"/>
      <c r="Y528" s="191"/>
      <c r="Z528" s="1422">
        <v>0.3</v>
      </c>
      <c r="AA528" s="1422"/>
      <c r="AB528" s="1422"/>
      <c r="AC528" s="198"/>
      <c r="AD528" s="1422">
        <v>0</v>
      </c>
      <c r="AE528" s="1422"/>
      <c r="AF528" s="1422"/>
      <c r="AG528" s="198"/>
      <c r="AH528" s="1422">
        <v>0.3</v>
      </c>
      <c r="AI528" s="1422"/>
      <c r="AJ528" s="1422"/>
      <c r="AK528" s="198"/>
      <c r="AL528" s="1422">
        <v>0.5</v>
      </c>
      <c r="AM528" s="1422"/>
      <c r="AN528" s="1422"/>
      <c r="AO528" s="124"/>
      <c r="AP528" s="124"/>
      <c r="AQ528" s="124"/>
      <c r="AR528" s="124"/>
      <c r="AS528" s="124"/>
      <c r="AT528" s="124"/>
      <c r="AU528" s="197"/>
      <c r="AX528" s="1294">
        <f>Z528</f>
        <v>0.3</v>
      </c>
      <c r="AY528" s="1294"/>
      <c r="AZ528" s="1294"/>
      <c r="BB528" s="1294">
        <f>AD528</f>
        <v>0</v>
      </c>
      <c r="BC528" s="1294"/>
      <c r="BD528" s="1294"/>
      <c r="BF528" s="1294">
        <f>AH528</f>
        <v>0.3</v>
      </c>
      <c r="BG528" s="1294"/>
      <c r="BH528" s="1294"/>
      <c r="BJ528" s="1294">
        <f>AL528</f>
        <v>0.5</v>
      </c>
      <c r="BK528" s="1294"/>
      <c r="BL528" s="1294"/>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400">
        <f>AB83</f>
        <v>0</v>
      </c>
      <c r="AA530" s="1400"/>
      <c r="AB530" s="1400"/>
      <c r="AC530" s="1400"/>
      <c r="AD530" s="1400"/>
      <c r="AE530" s="1400"/>
      <c r="AF530" s="1400"/>
      <c r="AG530" s="1400"/>
      <c r="AH530" s="1400"/>
      <c r="AI530" s="1400"/>
      <c r="AJ530" s="1400"/>
      <c r="AK530" s="1400"/>
      <c r="AL530" s="1400"/>
      <c r="AM530" s="1400"/>
      <c r="AN530" s="1400"/>
      <c r="AO530" s="192"/>
      <c r="AP530" s="192"/>
      <c r="AQ530" s="192"/>
      <c r="AR530" s="192"/>
      <c r="AS530" s="192"/>
      <c r="AT530" s="192"/>
      <c r="AU530" s="192"/>
      <c r="AV530" s="192"/>
      <c r="AW530" s="192"/>
      <c r="AX530" s="1400">
        <f>AZ83</f>
        <v>0</v>
      </c>
      <c r="AY530" s="1400"/>
      <c r="AZ530" s="1400"/>
      <c r="BA530" s="1400"/>
      <c r="BB530" s="1400"/>
      <c r="BC530" s="1400"/>
      <c r="BD530" s="1400"/>
      <c r="BE530" s="1400"/>
      <c r="BF530" s="1400"/>
      <c r="BG530" s="1400"/>
      <c r="BH530" s="1400"/>
      <c r="BI530" s="1400"/>
      <c r="BJ530" s="1400"/>
      <c r="BK530" s="1400"/>
      <c r="BL530" s="1400"/>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30">
        <f>IF($I528=$Z530,Z528,Z527)</f>
        <v>0</v>
      </c>
      <c r="AA531" s="1330"/>
      <c r="AB531" s="1330"/>
      <c r="AC531" s="27"/>
      <c r="AD531" s="1330">
        <f>IF($I528=$Z530,AD528,AD527)</f>
        <v>0</v>
      </c>
      <c r="AE531" s="1330"/>
      <c r="AF531" s="1330"/>
      <c r="AG531" s="27"/>
      <c r="AH531" s="1330">
        <f>IF($I528=$Z530,AH528,AH527)</f>
        <v>0</v>
      </c>
      <c r="AI531" s="1330"/>
      <c r="AJ531" s="1330"/>
      <c r="AK531" s="27"/>
      <c r="AL531" s="1330">
        <f>IF($I528=$Z530,AL528,AL527)</f>
        <v>0</v>
      </c>
      <c r="AM531" s="1330"/>
      <c r="AN531" s="1330"/>
      <c r="AO531" s="192"/>
      <c r="AP531" s="1329">
        <f>IF(AP532=0,0,1-AP533/AP532)</f>
        <v>0</v>
      </c>
      <c r="AQ531" s="1329"/>
      <c r="AR531" s="1329"/>
      <c r="AS531" s="1329"/>
      <c r="AT531" s="1329"/>
      <c r="AU531" s="192"/>
      <c r="AV531" s="192"/>
      <c r="AW531" s="192"/>
      <c r="AX531" s="1330">
        <f>IF($I528=$AX530,AX528,AX527)</f>
        <v>0</v>
      </c>
      <c r="AY531" s="1330"/>
      <c r="AZ531" s="1330"/>
      <c r="BA531" s="27"/>
      <c r="BB531" s="1330">
        <f>IF($I528=$AX530,BB528,BB527)</f>
        <v>0</v>
      </c>
      <c r="BC531" s="1330"/>
      <c r="BD531" s="1330"/>
      <c r="BE531" s="27"/>
      <c r="BF531" s="1330">
        <f>IF($I528=$AX530,BF528,BF527)</f>
        <v>0</v>
      </c>
      <c r="BG531" s="1330"/>
      <c r="BH531" s="1330"/>
      <c r="BI531" s="27"/>
      <c r="BJ531" s="1330">
        <f>IF($I528=$AX530,BJ528,BJ527)</f>
        <v>0</v>
      </c>
      <c r="BK531" s="1330"/>
      <c r="BL531" s="1330"/>
      <c r="BM531" s="192"/>
      <c r="BN531" s="1329">
        <f>IF(BN532=0,0,1-BN533/BN532)</f>
        <v>0</v>
      </c>
      <c r="BO531" s="1329"/>
      <c r="BP531" s="1329"/>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280">
        <f>Z$512</f>
        <v>0</v>
      </c>
      <c r="AA532" s="1280"/>
      <c r="AB532" s="1280"/>
      <c r="AD532" s="1280">
        <f>AD$512</f>
        <v>0</v>
      </c>
      <c r="AE532" s="1280"/>
      <c r="AF532" s="1280"/>
      <c r="AH532" s="1280">
        <f>AH$512</f>
        <v>0</v>
      </c>
      <c r="AI532" s="1280"/>
      <c r="AJ532" s="1280"/>
      <c r="AL532" s="1280">
        <f>AL$512</f>
        <v>0</v>
      </c>
      <c r="AM532" s="1280"/>
      <c r="AN532" s="1280"/>
      <c r="AO532" s="192"/>
      <c r="AP532" s="1280">
        <f>SUM(Z532:AN532)</f>
        <v>0</v>
      </c>
      <c r="AQ532" s="1280"/>
      <c r="AR532" s="1280"/>
      <c r="AS532" s="1280"/>
      <c r="AT532" s="1280"/>
      <c r="AU532" s="192"/>
      <c r="AV532" s="192"/>
      <c r="AW532" s="192"/>
      <c r="AX532" s="1280">
        <f>AX$512</f>
        <v>0</v>
      </c>
      <c r="AY532" s="1280"/>
      <c r="AZ532" s="1280"/>
      <c r="BB532" s="1280">
        <f>BB$512</f>
        <v>0</v>
      </c>
      <c r="BC532" s="1280"/>
      <c r="BD532" s="1280"/>
      <c r="BF532" s="1280">
        <f>BF$512</f>
        <v>0</v>
      </c>
      <c r="BG532" s="1280"/>
      <c r="BH532" s="1280"/>
      <c r="BJ532" s="1280">
        <f>BJ$512</f>
        <v>0</v>
      </c>
      <c r="BK532" s="1280"/>
      <c r="BL532" s="1280"/>
      <c r="BM532" s="192"/>
      <c r="BN532" s="1280">
        <f>SUM(AX532:BL532)</f>
        <v>0</v>
      </c>
      <c r="BO532" s="1280"/>
      <c r="BP532" s="1280"/>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292">
        <f>Z532-Z531*Z532</f>
        <v>0</v>
      </c>
      <c r="AA533" s="1292"/>
      <c r="AB533" s="1292"/>
      <c r="AC533" s="194"/>
      <c r="AD533" s="1292">
        <f>AD532-AD531*AD532</f>
        <v>0</v>
      </c>
      <c r="AE533" s="1292"/>
      <c r="AF533" s="1292"/>
      <c r="AG533" s="194"/>
      <c r="AH533" s="1292">
        <f>AH532-AH531*AH532</f>
        <v>0</v>
      </c>
      <c r="AI533" s="1292"/>
      <c r="AJ533" s="1292"/>
      <c r="AK533" s="194"/>
      <c r="AL533" s="1292">
        <f>AL532-AL531*AL532</f>
        <v>0</v>
      </c>
      <c r="AM533" s="1292"/>
      <c r="AN533" s="1292"/>
      <c r="AO533" s="27"/>
      <c r="AP533" s="1292">
        <f>SUM(Z533:AN533)</f>
        <v>0</v>
      </c>
      <c r="AQ533" s="1292"/>
      <c r="AR533" s="1292"/>
      <c r="AS533" s="1292"/>
      <c r="AT533" s="1292"/>
      <c r="AV533" s="192"/>
      <c r="AW533" s="192"/>
      <c r="AX533" s="1370">
        <f>AX532-AX531*AX532</f>
        <v>0</v>
      </c>
      <c r="AY533" s="1370"/>
      <c r="AZ533" s="1370"/>
      <c r="BA533" s="195"/>
      <c r="BB533" s="1370">
        <f>BB532-BB531*BB532</f>
        <v>0</v>
      </c>
      <c r="BC533" s="1370"/>
      <c r="BD533" s="1370"/>
      <c r="BE533" s="195"/>
      <c r="BF533" s="1370">
        <f>BF532-BF531*BF532</f>
        <v>0</v>
      </c>
      <c r="BG533" s="1370"/>
      <c r="BH533" s="1370"/>
      <c r="BI533" s="195"/>
      <c r="BJ533" s="1370">
        <f>BJ532-BJ531*BJ532</f>
        <v>0</v>
      </c>
      <c r="BK533" s="1370"/>
      <c r="BL533" s="1370"/>
      <c r="BN533" s="1370">
        <f>SUM(AX533:BL533)</f>
        <v>0</v>
      </c>
      <c r="BO533" s="1370"/>
      <c r="BP533" s="1370"/>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4" t="s">
        <v>94</v>
      </c>
      <c r="AA536" s="1294"/>
      <c r="AB536" s="1294"/>
      <c r="AD536" s="1294" t="s">
        <v>97</v>
      </c>
      <c r="AE536" s="1294"/>
      <c r="AF536" s="1294"/>
      <c r="AH536" s="1294" t="s">
        <v>98</v>
      </c>
      <c r="AI536" s="1294"/>
      <c r="AJ536" s="1294"/>
      <c r="AL536" s="1294" t="s">
        <v>99</v>
      </c>
      <c r="AM536" s="1294"/>
      <c r="AN536" s="1294"/>
      <c r="AO536" s="124"/>
      <c r="AP536" s="124"/>
      <c r="AQ536" s="124"/>
      <c r="AR536" s="124"/>
      <c r="AS536" s="124"/>
      <c r="AT536" s="124"/>
      <c r="AX536" s="1294" t="s">
        <v>94</v>
      </c>
      <c r="AY536" s="1294"/>
      <c r="AZ536" s="1294"/>
      <c r="BB536" s="1294" t="s">
        <v>97</v>
      </c>
      <c r="BC536" s="1294"/>
      <c r="BD536" s="1294"/>
      <c r="BF536" s="1294" t="s">
        <v>98</v>
      </c>
      <c r="BG536" s="1294"/>
      <c r="BH536" s="1294"/>
      <c r="BJ536" s="1294" t="s">
        <v>99</v>
      </c>
      <c r="BK536" s="1294"/>
      <c r="BL536" s="1294"/>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acceso/spento</v>
      </c>
      <c r="J537" s="191"/>
      <c r="K537" s="191"/>
      <c r="L537" s="191"/>
      <c r="M537" s="191"/>
      <c r="N537" s="191"/>
      <c r="O537" s="191"/>
      <c r="P537" s="191"/>
      <c r="Q537" s="191"/>
      <c r="R537" s="191"/>
      <c r="S537" s="191"/>
      <c r="T537" s="191"/>
      <c r="U537" s="191"/>
      <c r="V537" s="191"/>
      <c r="W537" s="191"/>
      <c r="X537" s="191"/>
      <c r="Y537" s="191"/>
      <c r="Z537" s="1422">
        <v>0</v>
      </c>
      <c r="AA537" s="1422"/>
      <c r="AB537" s="1422"/>
      <c r="AC537" s="198"/>
      <c r="AD537" s="1422">
        <v>0</v>
      </c>
      <c r="AE537" s="1422"/>
      <c r="AF537" s="1422"/>
      <c r="AG537" s="198"/>
      <c r="AH537" s="1422">
        <v>0</v>
      </c>
      <c r="AI537" s="1422"/>
      <c r="AJ537" s="1422"/>
      <c r="AK537" s="198"/>
      <c r="AL537" s="1422">
        <v>0</v>
      </c>
      <c r="AM537" s="1422"/>
      <c r="AN537" s="1422"/>
      <c r="AO537" s="124"/>
      <c r="AP537" s="124"/>
      <c r="AQ537" s="124"/>
      <c r="AR537" s="124"/>
      <c r="AS537" s="124"/>
      <c r="AT537" s="124"/>
      <c r="AX537" s="1294">
        <f>Z537</f>
        <v>0</v>
      </c>
      <c r="AY537" s="1294"/>
      <c r="AZ537" s="1294"/>
      <c r="BB537" s="1294">
        <f>AD537</f>
        <v>0</v>
      </c>
      <c r="BC537" s="1294"/>
      <c r="BD537" s="1294"/>
      <c r="BF537" s="1294">
        <f>AH537</f>
        <v>0</v>
      </c>
      <c r="BG537" s="1294"/>
      <c r="BH537" s="1294"/>
      <c r="BJ537" s="1294">
        <f>AL537</f>
        <v>0</v>
      </c>
      <c r="BK537" s="1294"/>
      <c r="BL537" s="1294"/>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comando in base al fabbisogno (modulabile CF/CE)</v>
      </c>
      <c r="J538" s="191"/>
      <c r="K538" s="191"/>
      <c r="L538" s="191"/>
      <c r="M538" s="191"/>
      <c r="N538" s="191"/>
      <c r="O538" s="191"/>
      <c r="P538" s="191"/>
      <c r="Q538" s="191"/>
      <c r="R538" s="191"/>
      <c r="S538" s="191"/>
      <c r="T538" s="191"/>
      <c r="U538" s="191"/>
      <c r="V538" s="191"/>
      <c r="W538" s="191"/>
      <c r="X538" s="191"/>
      <c r="Y538" s="191"/>
      <c r="Z538" s="1422">
        <v>0.3</v>
      </c>
      <c r="AA538" s="1422"/>
      <c r="AB538" s="1422"/>
      <c r="AC538" s="198"/>
      <c r="AD538" s="1422">
        <v>0</v>
      </c>
      <c r="AE538" s="1422"/>
      <c r="AF538" s="1422"/>
      <c r="AG538" s="198"/>
      <c r="AH538" s="1422">
        <v>0.3</v>
      </c>
      <c r="AI538" s="1422"/>
      <c r="AJ538" s="1422"/>
      <c r="AK538" s="198"/>
      <c r="AL538" s="1422">
        <v>0.5</v>
      </c>
      <c r="AM538" s="1422"/>
      <c r="AN538" s="1422"/>
      <c r="AO538" s="124"/>
      <c r="AP538" s="124"/>
      <c r="AQ538" s="124"/>
      <c r="AR538" s="124"/>
      <c r="AS538" s="124"/>
      <c r="AT538" s="124"/>
      <c r="AX538" s="1294">
        <f>Z538</f>
        <v>0.3</v>
      </c>
      <c r="AY538" s="1294"/>
      <c r="AZ538" s="1294"/>
      <c r="BB538" s="1294">
        <f>AD538</f>
        <v>0</v>
      </c>
      <c r="BC538" s="1294"/>
      <c r="BD538" s="1294"/>
      <c r="BF538" s="1294">
        <f>AH538</f>
        <v>0.3</v>
      </c>
      <c r="BG538" s="1294"/>
      <c r="BH538" s="1294"/>
      <c r="BJ538" s="1294">
        <f>AL538</f>
        <v>0.5</v>
      </c>
      <c r="BK538" s="1294"/>
      <c r="BL538" s="1294"/>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4"/>
      <c r="AA539" s="1294"/>
      <c r="AB539" s="1294"/>
      <c r="AC539" s="27"/>
      <c r="AD539" s="1294"/>
      <c r="AE539" s="1294"/>
      <c r="AF539" s="1294"/>
      <c r="AG539" s="27"/>
      <c r="AH539" s="1294"/>
      <c r="AI539" s="1294"/>
      <c r="AJ539" s="1294"/>
      <c r="AK539" s="27"/>
      <c r="AL539" s="1294"/>
      <c r="AM539" s="1294"/>
      <c r="AN539" s="1294"/>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400">
        <f>AB85</f>
        <v>0</v>
      </c>
      <c r="AA540" s="1400"/>
      <c r="AB540" s="1400"/>
      <c r="AC540" s="1400"/>
      <c r="AD540" s="1400"/>
      <c r="AE540" s="1400"/>
      <c r="AF540" s="1400"/>
      <c r="AG540" s="1400"/>
      <c r="AH540" s="1400"/>
      <c r="AI540" s="1400"/>
      <c r="AJ540" s="1400"/>
      <c r="AK540" s="1400"/>
      <c r="AL540" s="1400"/>
      <c r="AM540" s="1400"/>
      <c r="AN540" s="1400"/>
      <c r="AO540" s="192"/>
      <c r="AP540" s="192"/>
      <c r="AQ540" s="192"/>
      <c r="AR540" s="192"/>
      <c r="AS540" s="192"/>
      <c r="AT540" s="192"/>
      <c r="AU540" s="192"/>
      <c r="AV540" s="192"/>
      <c r="AW540" s="192"/>
      <c r="AX540" s="1400">
        <f>AZ85</f>
        <v>0</v>
      </c>
      <c r="AY540" s="1400"/>
      <c r="AZ540" s="1400"/>
      <c r="BA540" s="1400"/>
      <c r="BB540" s="1400"/>
      <c r="BC540" s="1400"/>
      <c r="BD540" s="1400"/>
      <c r="BE540" s="1400"/>
      <c r="BF540" s="1400"/>
      <c r="BG540" s="1400"/>
      <c r="BH540" s="1400"/>
      <c r="BI540" s="1400"/>
      <c r="BJ540" s="1400"/>
      <c r="BK540" s="1400"/>
      <c r="BL540" s="1400"/>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30">
        <f>IF($I538=$Z540,Z538,Z537)</f>
        <v>0</v>
      </c>
      <c r="AA541" s="1330"/>
      <c r="AB541" s="1330"/>
      <c r="AC541" s="27"/>
      <c r="AD541" s="1330">
        <f>IF($I538=$Z540,AD538,AD537)</f>
        <v>0</v>
      </c>
      <c r="AE541" s="1330"/>
      <c r="AF541" s="1330"/>
      <c r="AG541" s="27"/>
      <c r="AH541" s="1330">
        <f>IF($I538=$Z540,AH538,AH537)</f>
        <v>0</v>
      </c>
      <c r="AI541" s="1330"/>
      <c r="AJ541" s="1330"/>
      <c r="AK541" s="27"/>
      <c r="AL541" s="1330">
        <f>IF($I538=$Z540,AL538,AL537)</f>
        <v>0</v>
      </c>
      <c r="AM541" s="1330"/>
      <c r="AN541" s="1330"/>
      <c r="AO541" s="192"/>
      <c r="AP541" s="1329">
        <f>IF(AP542=0,0,1-AP543/AP542)</f>
        <v>0</v>
      </c>
      <c r="AQ541" s="1329"/>
      <c r="AR541" s="1329"/>
      <c r="AS541" s="1329"/>
      <c r="AT541" s="1329"/>
      <c r="AU541" s="192"/>
      <c r="AV541" s="192"/>
      <c r="AW541" s="192"/>
      <c r="AX541" s="1330">
        <f>IF($I538=$AX540,AX538,AX537)</f>
        <v>0</v>
      </c>
      <c r="AY541" s="1330"/>
      <c r="AZ541" s="1330"/>
      <c r="BA541" s="27"/>
      <c r="BB541" s="1330">
        <f>IF($I538=$AX540,BB538,BB537)</f>
        <v>0</v>
      </c>
      <c r="BC541" s="1330"/>
      <c r="BD541" s="1330"/>
      <c r="BE541" s="27"/>
      <c r="BF541" s="1330">
        <f>IF($I538=$AX540,BF538,BF537)</f>
        <v>0</v>
      </c>
      <c r="BG541" s="1330"/>
      <c r="BH541" s="1330"/>
      <c r="BI541" s="27"/>
      <c r="BJ541" s="1330">
        <f>IF($I538=$AX540,BJ538,BJ537)</f>
        <v>0</v>
      </c>
      <c r="BK541" s="1330"/>
      <c r="BL541" s="1330"/>
      <c r="BM541" s="192"/>
      <c r="BN541" s="1329">
        <f>IF(BN542=0,0,1-BN543/BN542)</f>
        <v>0</v>
      </c>
      <c r="BO541" s="1329"/>
      <c r="BP541" s="1329"/>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280">
        <f>Z$512</f>
        <v>0</v>
      </c>
      <c r="AA542" s="1280"/>
      <c r="AB542" s="1280"/>
      <c r="AD542" s="1280">
        <f>AD$512</f>
        <v>0</v>
      </c>
      <c r="AE542" s="1280"/>
      <c r="AF542" s="1280"/>
      <c r="AH542" s="1280">
        <f>AH$512</f>
        <v>0</v>
      </c>
      <c r="AI542" s="1280"/>
      <c r="AJ542" s="1280"/>
      <c r="AL542" s="1280">
        <f>AL$512</f>
        <v>0</v>
      </c>
      <c r="AM542" s="1280"/>
      <c r="AN542" s="1280"/>
      <c r="AO542" s="192"/>
      <c r="AP542" s="1280">
        <f>SUM(Z542:AN542)</f>
        <v>0</v>
      </c>
      <c r="AQ542" s="1280"/>
      <c r="AR542" s="1280"/>
      <c r="AS542" s="1280"/>
      <c r="AT542" s="1280"/>
      <c r="AU542" s="192"/>
      <c r="AV542" s="192"/>
      <c r="AW542" s="192"/>
      <c r="AX542" s="1280">
        <f>AX$512</f>
        <v>0</v>
      </c>
      <c r="AY542" s="1280"/>
      <c r="AZ542" s="1280"/>
      <c r="BB542" s="1280">
        <f>BB$512</f>
        <v>0</v>
      </c>
      <c r="BC542" s="1280"/>
      <c r="BD542" s="1280"/>
      <c r="BF542" s="1280">
        <f>BF$512</f>
        <v>0</v>
      </c>
      <c r="BG542" s="1280"/>
      <c r="BH542" s="1280"/>
      <c r="BJ542" s="1280">
        <f>BJ$512</f>
        <v>0</v>
      </c>
      <c r="BK542" s="1280"/>
      <c r="BL542" s="1280"/>
      <c r="BM542" s="192"/>
      <c r="BN542" s="1280">
        <f>SUM(AX542:BL542)</f>
        <v>0</v>
      </c>
      <c r="BO542" s="1280"/>
      <c r="BP542" s="1280"/>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292">
        <f>Z542-Z541*Z542</f>
        <v>0</v>
      </c>
      <c r="AA543" s="1292"/>
      <c r="AB543" s="1292"/>
      <c r="AC543" s="194"/>
      <c r="AD543" s="1292">
        <f>AD542-AD541*AD542</f>
        <v>0</v>
      </c>
      <c r="AE543" s="1292"/>
      <c r="AF543" s="1292"/>
      <c r="AG543" s="194"/>
      <c r="AH543" s="1292">
        <f>AH542-AH541*AH542</f>
        <v>0</v>
      </c>
      <c r="AI543" s="1292"/>
      <c r="AJ543" s="1292"/>
      <c r="AK543" s="194"/>
      <c r="AL543" s="1292">
        <f>AL542-AL541*AL542</f>
        <v>0</v>
      </c>
      <c r="AM543" s="1292"/>
      <c r="AN543" s="1292"/>
      <c r="AO543" s="27"/>
      <c r="AP543" s="1292">
        <f>SUM(Z543:AN543)</f>
        <v>0</v>
      </c>
      <c r="AQ543" s="1292"/>
      <c r="AR543" s="1292"/>
      <c r="AS543" s="1292"/>
      <c r="AT543" s="1292"/>
      <c r="AV543" s="192"/>
      <c r="AW543" s="192"/>
      <c r="AX543" s="1370">
        <f>AX542-AX541*AX542</f>
        <v>0</v>
      </c>
      <c r="AY543" s="1370"/>
      <c r="AZ543" s="1370"/>
      <c r="BA543" s="195"/>
      <c r="BB543" s="1370">
        <f>BB542-BB541*BB542</f>
        <v>0</v>
      </c>
      <c r="BC543" s="1370"/>
      <c r="BD543" s="1370"/>
      <c r="BE543" s="195"/>
      <c r="BF543" s="1370">
        <f>BF542-BF541*BF542</f>
        <v>0</v>
      </c>
      <c r="BG543" s="1370"/>
      <c r="BH543" s="1370"/>
      <c r="BI543" s="195"/>
      <c r="BJ543" s="1370">
        <f>BJ542-BJ541*BJ542</f>
        <v>0</v>
      </c>
      <c r="BK543" s="1370"/>
      <c r="BL543" s="1370"/>
      <c r="BN543" s="1370">
        <f>SUM(AX543:BL543)</f>
        <v>0</v>
      </c>
      <c r="BO543" s="1370"/>
      <c r="BP543" s="1370"/>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4" t="s">
        <v>94</v>
      </c>
      <c r="AA546" s="1294"/>
      <c r="AB546" s="1294"/>
      <c r="AD546" s="1294" t="s">
        <v>97</v>
      </c>
      <c r="AE546" s="1294"/>
      <c r="AF546" s="1294"/>
      <c r="AH546" s="1294" t="s">
        <v>98</v>
      </c>
      <c r="AI546" s="1294"/>
      <c r="AJ546" s="1294"/>
      <c r="AL546" s="1294" t="s">
        <v>99</v>
      </c>
      <c r="AM546" s="1294"/>
      <c r="AN546" s="1294"/>
      <c r="AO546" s="124"/>
      <c r="AP546" s="124"/>
      <c r="AQ546" s="124"/>
      <c r="AR546" s="124"/>
      <c r="AS546" s="124"/>
      <c r="AT546" s="124"/>
      <c r="AX546" s="1294" t="s">
        <v>94</v>
      </c>
      <c r="AY546" s="1294"/>
      <c r="AZ546" s="1294"/>
      <c r="BB546" s="1294" t="s">
        <v>97</v>
      </c>
      <c r="BC546" s="1294"/>
      <c r="BD546" s="1294"/>
      <c r="BF546" s="1294" t="s">
        <v>98</v>
      </c>
      <c r="BG546" s="1294"/>
      <c r="BH546" s="1294"/>
      <c r="BJ546" s="1294" t="s">
        <v>99</v>
      </c>
      <c r="BK546" s="1294"/>
      <c r="BL546" s="1294"/>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acceso/spento</v>
      </c>
      <c r="J547" s="191"/>
      <c r="K547" s="191"/>
      <c r="L547" s="191"/>
      <c r="M547" s="191"/>
      <c r="N547" s="191"/>
      <c r="O547" s="191"/>
      <c r="P547" s="191"/>
      <c r="Q547" s="191"/>
      <c r="R547" s="191"/>
      <c r="S547" s="191"/>
      <c r="T547" s="191"/>
      <c r="U547" s="191"/>
      <c r="V547" s="191"/>
      <c r="W547" s="191"/>
      <c r="X547" s="191"/>
      <c r="Y547" s="191"/>
      <c r="Z547" s="1422">
        <v>0</v>
      </c>
      <c r="AA547" s="1422"/>
      <c r="AB547" s="1422"/>
      <c r="AC547" s="198"/>
      <c r="AD547" s="1422">
        <v>0</v>
      </c>
      <c r="AE547" s="1422"/>
      <c r="AF547" s="1422"/>
      <c r="AG547" s="198"/>
      <c r="AH547" s="1422">
        <v>0</v>
      </c>
      <c r="AI547" s="1422"/>
      <c r="AJ547" s="1422"/>
      <c r="AK547" s="198"/>
      <c r="AL547" s="1422">
        <v>0</v>
      </c>
      <c r="AM547" s="1422"/>
      <c r="AN547" s="1422"/>
      <c r="AO547" s="124"/>
      <c r="AP547" s="124"/>
      <c r="AQ547" s="124"/>
      <c r="AR547" s="124"/>
      <c r="AS547" s="124"/>
      <c r="AT547" s="124"/>
      <c r="AX547" s="1294">
        <f>Z547</f>
        <v>0</v>
      </c>
      <c r="AY547" s="1294"/>
      <c r="AZ547" s="1294"/>
      <c r="BB547" s="1294">
        <f>AD547</f>
        <v>0</v>
      </c>
      <c r="BC547" s="1294"/>
      <c r="BD547" s="1294"/>
      <c r="BF547" s="1294">
        <f>AH547</f>
        <v>0</v>
      </c>
      <c r="BG547" s="1294"/>
      <c r="BH547" s="1294"/>
      <c r="BJ547" s="1294">
        <f>AL547</f>
        <v>0</v>
      </c>
      <c r="BK547" s="1294"/>
      <c r="BL547" s="1294"/>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comando in base al fabbisogno (modulabile CF/CE)</v>
      </c>
      <c r="J548" s="191"/>
      <c r="K548" s="191"/>
      <c r="L548" s="191"/>
      <c r="M548" s="191"/>
      <c r="N548" s="191"/>
      <c r="O548" s="191"/>
      <c r="P548" s="191"/>
      <c r="Q548" s="191"/>
      <c r="R548" s="191"/>
      <c r="S548" s="191"/>
      <c r="T548" s="191"/>
      <c r="U548" s="191"/>
      <c r="V548" s="191"/>
      <c r="W548" s="191"/>
      <c r="X548" s="191"/>
      <c r="Y548" s="191"/>
      <c r="Z548" s="1422">
        <v>0.3</v>
      </c>
      <c r="AA548" s="1422"/>
      <c r="AB548" s="1422"/>
      <c r="AC548" s="198"/>
      <c r="AD548" s="1422">
        <v>0</v>
      </c>
      <c r="AE548" s="1422"/>
      <c r="AF548" s="1422"/>
      <c r="AG548" s="198"/>
      <c r="AH548" s="1422">
        <v>0.3</v>
      </c>
      <c r="AI548" s="1422"/>
      <c r="AJ548" s="1422"/>
      <c r="AK548" s="198"/>
      <c r="AL548" s="1422">
        <v>0.5</v>
      </c>
      <c r="AM548" s="1422"/>
      <c r="AN548" s="1422"/>
      <c r="AO548" s="124"/>
      <c r="AP548" s="124"/>
      <c r="AQ548" s="124"/>
      <c r="AR548" s="124"/>
      <c r="AS548" s="124"/>
      <c r="AT548" s="124"/>
      <c r="AX548" s="1294">
        <f>Z548</f>
        <v>0.3</v>
      </c>
      <c r="AY548" s="1294"/>
      <c r="AZ548" s="1294"/>
      <c r="BB548" s="1294">
        <f>AD548</f>
        <v>0</v>
      </c>
      <c r="BC548" s="1294"/>
      <c r="BD548" s="1294"/>
      <c r="BF548" s="1294">
        <f>AH548</f>
        <v>0.3</v>
      </c>
      <c r="BG548" s="1294"/>
      <c r="BH548" s="1294"/>
      <c r="BJ548" s="1294">
        <f>AL548</f>
        <v>0.5</v>
      </c>
      <c r="BK548" s="1294"/>
      <c r="BL548" s="1294"/>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4"/>
      <c r="AA549" s="1294"/>
      <c r="AB549" s="1294"/>
      <c r="AC549" s="27"/>
      <c r="AD549" s="1294"/>
      <c r="AE549" s="1294"/>
      <c r="AF549" s="1294"/>
      <c r="AG549" s="27"/>
      <c r="AH549" s="1294"/>
      <c r="AI549" s="1294"/>
      <c r="AJ549" s="1294"/>
      <c r="AK549" s="27"/>
      <c r="AL549" s="1294"/>
      <c r="AM549" s="1294"/>
      <c r="AN549" s="1294"/>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400">
        <f>AB123</f>
        <v>0</v>
      </c>
      <c r="AA550" s="1400"/>
      <c r="AB550" s="1400"/>
      <c r="AC550" s="1400"/>
      <c r="AD550" s="1400"/>
      <c r="AE550" s="1400"/>
      <c r="AF550" s="1400"/>
      <c r="AG550" s="1400"/>
      <c r="AH550" s="1400"/>
      <c r="AI550" s="1400"/>
      <c r="AJ550" s="1400"/>
      <c r="AK550" s="1400"/>
      <c r="AL550" s="1400"/>
      <c r="AM550" s="1400"/>
      <c r="AN550" s="1400"/>
      <c r="AO550" s="192"/>
      <c r="AP550" s="192"/>
      <c r="AQ550" s="192"/>
      <c r="AR550" s="192"/>
      <c r="AS550" s="192"/>
      <c r="AT550" s="192"/>
      <c r="AU550" s="192"/>
      <c r="AV550" s="192"/>
      <c r="AW550" s="192"/>
      <c r="AX550" s="1400">
        <f>AZ123</f>
        <v>0</v>
      </c>
      <c r="AY550" s="1400"/>
      <c r="AZ550" s="1400"/>
      <c r="BA550" s="1400"/>
      <c r="BB550" s="1400"/>
      <c r="BC550" s="1400"/>
      <c r="BD550" s="1400"/>
      <c r="BE550" s="1400"/>
      <c r="BF550" s="1400"/>
      <c r="BG550" s="1400"/>
      <c r="BH550" s="1400"/>
      <c r="BI550" s="1400"/>
      <c r="BJ550" s="1400"/>
      <c r="BK550" s="1400"/>
      <c r="BL550" s="1400"/>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30">
        <f>IF($I548=$Z550,Z548,Z547)</f>
        <v>0</v>
      </c>
      <c r="AA551" s="1330"/>
      <c r="AB551" s="1330"/>
      <c r="AC551" s="27"/>
      <c r="AD551" s="1330">
        <f>IF($I548=$Z550,AD548,AD547)</f>
        <v>0</v>
      </c>
      <c r="AE551" s="1330"/>
      <c r="AF551" s="1330"/>
      <c r="AG551" s="27"/>
      <c r="AH551" s="1330">
        <f>IF($I548=$Z550,AH548,AH547)</f>
        <v>0</v>
      </c>
      <c r="AI551" s="1330"/>
      <c r="AJ551" s="1330"/>
      <c r="AK551" s="27"/>
      <c r="AL551" s="1330">
        <f>IF($I548=$Z550,AL548,AL547)</f>
        <v>0</v>
      </c>
      <c r="AM551" s="1330"/>
      <c r="AN551" s="1330"/>
      <c r="AO551" s="192"/>
      <c r="AP551" s="1329">
        <f>IF(AP552=0,0,1-AP553/AP552)</f>
        <v>0</v>
      </c>
      <c r="AQ551" s="1329"/>
      <c r="AR551" s="1329"/>
      <c r="AS551" s="1329"/>
      <c r="AT551" s="1329"/>
      <c r="AU551" s="192"/>
      <c r="AV551" s="192"/>
      <c r="AW551" s="192"/>
      <c r="AX551" s="1330">
        <f>IF($I548=$AX550,AX548,AX547)</f>
        <v>0</v>
      </c>
      <c r="AY551" s="1330"/>
      <c r="AZ551" s="1330"/>
      <c r="BA551" s="27"/>
      <c r="BB551" s="1330">
        <f>IF($I548=$AX550,BB548,BB547)</f>
        <v>0</v>
      </c>
      <c r="BC551" s="1330"/>
      <c r="BD551" s="1330"/>
      <c r="BE551" s="27"/>
      <c r="BF551" s="1330">
        <f>IF($I548=$AX550,BF548,BF547)</f>
        <v>0</v>
      </c>
      <c r="BG551" s="1330"/>
      <c r="BH551" s="1330"/>
      <c r="BI551" s="27"/>
      <c r="BJ551" s="1330">
        <f>IF($I548=$AX550,BJ548,BJ547)</f>
        <v>0</v>
      </c>
      <c r="BK551" s="1330"/>
      <c r="BL551" s="1330"/>
      <c r="BM551" s="192"/>
      <c r="BN551" s="1329">
        <f>IF(BN552=0,0,1-BN553/BN552)</f>
        <v>0</v>
      </c>
      <c r="BO551" s="1329"/>
      <c r="BP551" s="1329"/>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280">
        <f>Z$512</f>
        <v>0</v>
      </c>
      <c r="AA552" s="1280"/>
      <c r="AB552" s="1280"/>
      <c r="AD552" s="1280">
        <f>AD$512</f>
        <v>0</v>
      </c>
      <c r="AE552" s="1280"/>
      <c r="AF552" s="1280"/>
      <c r="AH552" s="1280">
        <f>AH$512</f>
        <v>0</v>
      </c>
      <c r="AI552" s="1280"/>
      <c r="AJ552" s="1280"/>
      <c r="AL552" s="1280">
        <f>AL$512</f>
        <v>0</v>
      </c>
      <c r="AM552" s="1280"/>
      <c r="AN552" s="1280"/>
      <c r="AO552" s="192"/>
      <c r="AP552" s="1280">
        <f>SUM(Z552:AN552)</f>
        <v>0</v>
      </c>
      <c r="AQ552" s="1280"/>
      <c r="AR552" s="1280"/>
      <c r="AS552" s="1280"/>
      <c r="AT552" s="1280"/>
      <c r="AU552" s="192"/>
      <c r="AV552" s="192"/>
      <c r="AW552" s="192"/>
      <c r="AX552" s="1280">
        <f>AX$512</f>
        <v>0</v>
      </c>
      <c r="AY552" s="1280"/>
      <c r="AZ552" s="1280"/>
      <c r="BB552" s="1280">
        <f>BB$512</f>
        <v>0</v>
      </c>
      <c r="BC552" s="1280"/>
      <c r="BD552" s="1280"/>
      <c r="BF552" s="1280">
        <f>BF$512</f>
        <v>0</v>
      </c>
      <c r="BG552" s="1280"/>
      <c r="BH552" s="1280"/>
      <c r="BJ552" s="1280">
        <f>BJ$512</f>
        <v>0</v>
      </c>
      <c r="BK552" s="1280"/>
      <c r="BL552" s="1280"/>
      <c r="BM552" s="192"/>
      <c r="BN552" s="1280">
        <f>SUM(AX552:BL552)</f>
        <v>0</v>
      </c>
      <c r="BO552" s="1280"/>
      <c r="BP552" s="1280"/>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292">
        <f>Z552-Z551*Z552</f>
        <v>0</v>
      </c>
      <c r="AA553" s="1292"/>
      <c r="AB553" s="1292"/>
      <c r="AC553" s="194"/>
      <c r="AD553" s="1292">
        <f>AD552-AD551*AD552</f>
        <v>0</v>
      </c>
      <c r="AE553" s="1292"/>
      <c r="AF553" s="1292"/>
      <c r="AG553" s="194"/>
      <c r="AH553" s="1292">
        <f>AH552-AH551*AH552</f>
        <v>0</v>
      </c>
      <c r="AI553" s="1292"/>
      <c r="AJ553" s="1292"/>
      <c r="AK553" s="194"/>
      <c r="AL553" s="1292">
        <f>AL552-AL551*AL552</f>
        <v>0</v>
      </c>
      <c r="AM553" s="1292"/>
      <c r="AN553" s="1292"/>
      <c r="AO553" s="27"/>
      <c r="AP553" s="1292">
        <f>SUM(Z553:AN553)</f>
        <v>0</v>
      </c>
      <c r="AQ553" s="1292"/>
      <c r="AR553" s="1292"/>
      <c r="AS553" s="1292"/>
      <c r="AT553" s="1292"/>
      <c r="AV553" s="192"/>
      <c r="AW553" s="192"/>
      <c r="AX553" s="1370">
        <f>AX552-AX551*AX552</f>
        <v>0</v>
      </c>
      <c r="AY553" s="1370"/>
      <c r="AZ553" s="1370"/>
      <c r="BA553" s="195"/>
      <c r="BB553" s="1370">
        <f>BB552-BB551*BB552</f>
        <v>0</v>
      </c>
      <c r="BC553" s="1370"/>
      <c r="BD553" s="1370"/>
      <c r="BE553" s="195"/>
      <c r="BF553" s="1370">
        <f>BF552-BF551*BF552</f>
        <v>0</v>
      </c>
      <c r="BG553" s="1370"/>
      <c r="BH553" s="1370"/>
      <c r="BI553" s="195"/>
      <c r="BJ553" s="1370">
        <f>BJ552-BJ551*BJ552</f>
        <v>0</v>
      </c>
      <c r="BK553" s="1370"/>
      <c r="BL553" s="1370"/>
      <c r="BN553" s="1370">
        <f>SUM(AX553:BL553)</f>
        <v>0</v>
      </c>
      <c r="BO553" s="1370"/>
      <c r="BP553" s="1370"/>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60" t="s">
        <v>94</v>
      </c>
      <c r="AA558" s="1460"/>
      <c r="AB558" s="1460"/>
      <c r="AD558" s="1436" t="s">
        <v>97</v>
      </c>
      <c r="AE558" s="1436"/>
      <c r="AF558" s="1436"/>
      <c r="AH558" s="1350" t="s">
        <v>98</v>
      </c>
      <c r="AI558" s="1350"/>
      <c r="AJ558" s="1350"/>
      <c r="AL558" s="1350" t="s">
        <v>99</v>
      </c>
      <c r="AM558" s="1350"/>
      <c r="AN558" s="1350"/>
      <c r="AP558" s="1350" t="s">
        <v>101</v>
      </c>
      <c r="AQ558" s="1350"/>
      <c r="AR558" s="1350"/>
      <c r="AS558" s="1350"/>
      <c r="AT558" s="1350"/>
      <c r="AX558" s="1460" t="s">
        <v>94</v>
      </c>
      <c r="AY558" s="1460"/>
      <c r="AZ558" s="1460"/>
      <c r="BB558" s="1436" t="s">
        <v>97</v>
      </c>
      <c r="BC558" s="1436"/>
      <c r="BD558" s="1436"/>
      <c r="BF558" s="1350" t="s">
        <v>98</v>
      </c>
      <c r="BG558" s="1350"/>
      <c r="BH558" s="1350"/>
      <c r="BJ558" s="1350" t="s">
        <v>99</v>
      </c>
      <c r="BK558" s="1350"/>
      <c r="BL558" s="1350"/>
      <c r="BN558" s="1350" t="s">
        <v>101</v>
      </c>
      <c r="BO558" s="1350"/>
      <c r="BP558" s="1350"/>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Pompe circolazione freddo</v>
      </c>
      <c r="I561" s="191"/>
      <c r="J561" s="191"/>
      <c r="K561" s="191"/>
      <c r="L561" s="191"/>
      <c r="M561" s="191"/>
      <c r="N561" s="191"/>
      <c r="O561" s="191"/>
      <c r="P561" s="191"/>
      <c r="Q561" s="191"/>
      <c r="R561" s="191"/>
      <c r="S561" s="191"/>
      <c r="T561" s="191"/>
      <c r="U561" s="191"/>
      <c r="V561" s="191"/>
      <c r="W561" s="191"/>
      <c r="X561" s="191"/>
      <c r="Y561" s="191"/>
      <c r="Z561" s="1294" t="s">
        <v>94</v>
      </c>
      <c r="AA561" s="1294"/>
      <c r="AB561" s="1294"/>
      <c r="AD561" s="1294" t="s">
        <v>97</v>
      </c>
      <c r="AE561" s="1294"/>
      <c r="AF561" s="1294"/>
      <c r="AH561" s="1294" t="s">
        <v>98</v>
      </c>
      <c r="AI561" s="1294"/>
      <c r="AJ561" s="1294"/>
      <c r="AL561" s="1294" t="s">
        <v>99</v>
      </c>
      <c r="AM561" s="1294"/>
      <c r="AN561" s="1294"/>
      <c r="AO561" s="192"/>
      <c r="AP561" s="192"/>
      <c r="AQ561" s="192"/>
      <c r="AR561" s="192"/>
      <c r="AS561" s="192"/>
      <c r="AT561" s="192"/>
      <c r="AU561" s="192"/>
      <c r="AV561" s="192"/>
      <c r="AW561" s="192"/>
      <c r="AX561" s="1294" t="s">
        <v>94</v>
      </c>
      <c r="AY561" s="1294"/>
      <c r="AZ561" s="1294"/>
      <c r="BB561" s="1294" t="s">
        <v>97</v>
      </c>
      <c r="BC561" s="1294"/>
      <c r="BD561" s="1294"/>
      <c r="BF561" s="1294" t="s">
        <v>98</v>
      </c>
      <c r="BG561" s="1294"/>
      <c r="BH561" s="1294"/>
      <c r="BJ561" s="1294" t="s">
        <v>99</v>
      </c>
      <c r="BK561" s="1294"/>
      <c r="BL561" s="1294"/>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acceso/spento</v>
      </c>
      <c r="J562" s="191"/>
      <c r="K562" s="191"/>
      <c r="L562" s="191"/>
      <c r="M562" s="191"/>
      <c r="N562" s="191"/>
      <c r="O562" s="191"/>
      <c r="P562" s="191"/>
      <c r="Q562" s="191"/>
      <c r="R562" s="191"/>
      <c r="S562" s="191"/>
      <c r="T562" s="191"/>
      <c r="U562" s="191"/>
      <c r="V562" s="191"/>
      <c r="W562" s="191"/>
      <c r="X562" s="191"/>
      <c r="Y562" s="191"/>
      <c r="Z562" s="1422">
        <v>0</v>
      </c>
      <c r="AA562" s="1422"/>
      <c r="AB562" s="1422"/>
      <c r="AC562" s="198"/>
      <c r="AD562" s="1422">
        <v>0</v>
      </c>
      <c r="AE562" s="1422"/>
      <c r="AF562" s="1422"/>
      <c r="AG562" s="198"/>
      <c r="AH562" s="1422">
        <v>0</v>
      </c>
      <c r="AI562" s="1422"/>
      <c r="AJ562" s="1422"/>
      <c r="AK562" s="198"/>
      <c r="AL562" s="1422">
        <v>0</v>
      </c>
      <c r="AM562" s="1422"/>
      <c r="AN562" s="1422"/>
      <c r="AO562" s="192"/>
      <c r="AP562" s="192"/>
      <c r="AQ562" s="192"/>
      <c r="AR562" s="192"/>
      <c r="AS562" s="192"/>
      <c r="AT562" s="192"/>
      <c r="AU562" s="192"/>
      <c r="AV562" s="192"/>
      <c r="AW562" s="192"/>
      <c r="AX562" s="1294">
        <f>Z562</f>
        <v>0</v>
      </c>
      <c r="AY562" s="1294"/>
      <c r="AZ562" s="1294"/>
      <c r="BB562" s="1294">
        <f>AD562</f>
        <v>0</v>
      </c>
      <c r="BC562" s="1294"/>
      <c r="BD562" s="1294"/>
      <c r="BF562" s="1294">
        <f>AH562</f>
        <v>0</v>
      </c>
      <c r="BG562" s="1294"/>
      <c r="BH562" s="1294"/>
      <c r="BJ562" s="1294">
        <f>AL562</f>
        <v>0</v>
      </c>
      <c r="BK562" s="1294"/>
      <c r="BL562" s="1294"/>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comando in base al fabbisogno (FU)</v>
      </c>
      <c r="J563" s="191"/>
      <c r="K563" s="191"/>
      <c r="L563" s="191"/>
      <c r="M563" s="191"/>
      <c r="N563" s="191"/>
      <c r="O563" s="191"/>
      <c r="P563" s="191"/>
      <c r="Q563" s="191"/>
      <c r="R563" s="191"/>
      <c r="S563" s="191"/>
      <c r="T563" s="191"/>
      <c r="U563" s="191"/>
      <c r="V563" s="191"/>
      <c r="W563" s="191"/>
      <c r="X563" s="191"/>
      <c r="Y563" s="191"/>
      <c r="Z563" s="1422">
        <v>0.3</v>
      </c>
      <c r="AA563" s="1422"/>
      <c r="AB563" s="1422"/>
      <c r="AC563" s="198"/>
      <c r="AD563" s="1422">
        <v>0</v>
      </c>
      <c r="AE563" s="1422"/>
      <c r="AF563" s="1422"/>
      <c r="AG563" s="198"/>
      <c r="AH563" s="1422">
        <v>0.3</v>
      </c>
      <c r="AI563" s="1422"/>
      <c r="AJ563" s="1422"/>
      <c r="AK563" s="198"/>
      <c r="AL563" s="1422">
        <v>0.5</v>
      </c>
      <c r="AM563" s="1422"/>
      <c r="AN563" s="1422"/>
      <c r="AO563" s="192"/>
      <c r="AP563" s="192"/>
      <c r="AQ563" s="192"/>
      <c r="AR563" s="192"/>
      <c r="AS563" s="192"/>
      <c r="AT563" s="192"/>
      <c r="AU563" s="192"/>
      <c r="AV563" s="192"/>
      <c r="AW563" s="192"/>
      <c r="AX563" s="1294">
        <f>Z563</f>
        <v>0.3</v>
      </c>
      <c r="AY563" s="1294"/>
      <c r="AZ563" s="1294"/>
      <c r="BB563" s="1294">
        <f>AD563</f>
        <v>0</v>
      </c>
      <c r="BC563" s="1294"/>
      <c r="BD563" s="1294"/>
      <c r="BF563" s="1294">
        <f>AH563</f>
        <v>0.3</v>
      </c>
      <c r="BG563" s="1294"/>
      <c r="BH563" s="1294"/>
      <c r="BJ563" s="1294">
        <f>AL563</f>
        <v>0.5</v>
      </c>
      <c r="BK563" s="1294"/>
      <c r="BL563" s="1294"/>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400">
        <f>AB89</f>
        <v>0</v>
      </c>
      <c r="AA565" s="1400"/>
      <c r="AB565" s="1400"/>
      <c r="AC565" s="1400"/>
      <c r="AD565" s="1400"/>
      <c r="AE565" s="1400"/>
      <c r="AF565" s="1400"/>
      <c r="AG565" s="1400"/>
      <c r="AH565" s="1400"/>
      <c r="AI565" s="1400"/>
      <c r="AJ565" s="1400"/>
      <c r="AK565" s="1400"/>
      <c r="AL565" s="1400"/>
      <c r="AM565" s="1400"/>
      <c r="AN565" s="1400"/>
      <c r="AO565" s="192"/>
      <c r="AP565" s="192"/>
      <c r="AQ565" s="192"/>
      <c r="AR565" s="192"/>
      <c r="AS565" s="192"/>
      <c r="AT565" s="192"/>
      <c r="AU565" s="192"/>
      <c r="AV565" s="192"/>
      <c r="AW565" s="192"/>
      <c r="AX565" s="1400">
        <f>AZ89</f>
        <v>0</v>
      </c>
      <c r="AY565" s="1400"/>
      <c r="AZ565" s="1400"/>
      <c r="BA565" s="1400"/>
      <c r="BB565" s="1400"/>
      <c r="BC565" s="1400"/>
      <c r="BD565" s="1400"/>
      <c r="BE565" s="1400"/>
      <c r="BF565" s="1400"/>
      <c r="BG565" s="1400"/>
      <c r="BH565" s="1400"/>
      <c r="BI565" s="1400"/>
      <c r="BJ565" s="1400"/>
      <c r="BK565" s="1400"/>
      <c r="BL565" s="1400"/>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30">
        <f>IF($I563=$Z565,Z563,Z562)</f>
        <v>0</v>
      </c>
      <c r="AA566" s="1330"/>
      <c r="AB566" s="1330"/>
      <c r="AC566" s="27"/>
      <c r="AD566" s="1330">
        <f>IF($I563=$Z565,AD563,AD562)</f>
        <v>0</v>
      </c>
      <c r="AE566" s="1330"/>
      <c r="AF566" s="1330"/>
      <c r="AG566" s="27"/>
      <c r="AH566" s="1330">
        <f>IF($I563=$Z565,AH563,AH562)</f>
        <v>0</v>
      </c>
      <c r="AI566" s="1330"/>
      <c r="AJ566" s="1330"/>
      <c r="AK566" s="27"/>
      <c r="AL566" s="1330">
        <f>IF($I563=$Z565,AL563,AL562)</f>
        <v>0</v>
      </c>
      <c r="AM566" s="1330"/>
      <c r="AN566" s="1330"/>
      <c r="AO566" s="192"/>
      <c r="AP566" s="1329">
        <f>IF(AP567=0,0,1-AP568/AP567)</f>
        <v>0</v>
      </c>
      <c r="AQ566" s="1329"/>
      <c r="AR566" s="1329"/>
      <c r="AS566" s="1329"/>
      <c r="AT566" s="1329"/>
      <c r="AU566" s="192"/>
      <c r="AV566" s="192"/>
      <c r="AW566" s="192"/>
      <c r="AX566" s="1330">
        <f>IF($I563=$AX565,AX563,AX562)</f>
        <v>0</v>
      </c>
      <c r="AY566" s="1330"/>
      <c r="AZ566" s="1330"/>
      <c r="BA566" s="27"/>
      <c r="BB566" s="1330">
        <f>IF($I563=$AX565,BB563,BB562)</f>
        <v>0</v>
      </c>
      <c r="BC566" s="1330"/>
      <c r="BD566" s="1330"/>
      <c r="BE566" s="27"/>
      <c r="BF566" s="1330">
        <f>IF($I563=$AX565,BF563,BF562)</f>
        <v>0</v>
      </c>
      <c r="BG566" s="1330"/>
      <c r="BH566" s="1330"/>
      <c r="BI566" s="27"/>
      <c r="BJ566" s="1330">
        <f>IF($I563=$AX565,BJ563,BJ562)</f>
        <v>0</v>
      </c>
      <c r="BK566" s="1330"/>
      <c r="BL566" s="1330"/>
      <c r="BM566" s="192"/>
      <c r="BN566" s="1329">
        <f>IF(BN567=0,0,1-BN568/BN567)</f>
        <v>0</v>
      </c>
      <c r="BO566" s="1329"/>
      <c r="BP566" s="1329"/>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280">
        <f>Z$512</f>
        <v>0</v>
      </c>
      <c r="AA567" s="1280"/>
      <c r="AB567" s="1280"/>
      <c r="AD567" s="1280">
        <f>AD$512</f>
        <v>0</v>
      </c>
      <c r="AE567" s="1280"/>
      <c r="AF567" s="1280"/>
      <c r="AH567" s="1280">
        <f>AH$512</f>
        <v>0</v>
      </c>
      <c r="AI567" s="1280"/>
      <c r="AJ567" s="1280"/>
      <c r="AL567" s="1280">
        <f>AL$512</f>
        <v>0</v>
      </c>
      <c r="AM567" s="1280"/>
      <c r="AN567" s="1280"/>
      <c r="AO567" s="192"/>
      <c r="AP567" s="1280">
        <f>SUM(Z567:AN567)</f>
        <v>0</v>
      </c>
      <c r="AQ567" s="1280"/>
      <c r="AR567" s="1280"/>
      <c r="AS567" s="1280"/>
      <c r="AT567" s="1280"/>
      <c r="AU567" s="192"/>
      <c r="AV567" s="192"/>
      <c r="AW567" s="192"/>
      <c r="AX567" s="1280">
        <f>AX$512</f>
        <v>0</v>
      </c>
      <c r="AY567" s="1280"/>
      <c r="AZ567" s="1280"/>
      <c r="BB567" s="1280">
        <f>BB$512</f>
        <v>0</v>
      </c>
      <c r="BC567" s="1280"/>
      <c r="BD567" s="1280"/>
      <c r="BF567" s="1280">
        <f>BF$512</f>
        <v>0</v>
      </c>
      <c r="BG567" s="1280"/>
      <c r="BH567" s="1280"/>
      <c r="BJ567" s="1280">
        <f>BJ$512</f>
        <v>0</v>
      </c>
      <c r="BK567" s="1280"/>
      <c r="BL567" s="1280"/>
      <c r="BM567" s="192"/>
      <c r="BN567" s="1280">
        <f>SUM(AX567:BL567)</f>
        <v>0</v>
      </c>
      <c r="BO567" s="1280"/>
      <c r="BP567" s="1280"/>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292">
        <f>Z567-Z566*Z567</f>
        <v>0</v>
      </c>
      <c r="AA568" s="1292"/>
      <c r="AB568" s="1292"/>
      <c r="AC568" s="194"/>
      <c r="AD568" s="1292">
        <f>AD567-AD566*AD567</f>
        <v>0</v>
      </c>
      <c r="AE568" s="1292"/>
      <c r="AF568" s="1292"/>
      <c r="AG568" s="194"/>
      <c r="AH568" s="1292">
        <f>AH567-AH566*AH567</f>
        <v>0</v>
      </c>
      <c r="AI568" s="1292"/>
      <c r="AJ568" s="1292"/>
      <c r="AK568" s="194"/>
      <c r="AL568" s="1292">
        <f>AL567-AL566*AL567</f>
        <v>0</v>
      </c>
      <c r="AM568" s="1292"/>
      <c r="AN568" s="1292"/>
      <c r="AO568" s="27"/>
      <c r="AP568" s="1292">
        <f>SUM(Z568:AN568)</f>
        <v>0</v>
      </c>
      <c r="AQ568" s="1292"/>
      <c r="AR568" s="1292"/>
      <c r="AS568" s="1292"/>
      <c r="AT568" s="1292"/>
      <c r="AV568" s="192"/>
      <c r="AW568" s="192"/>
      <c r="AX568" s="1370">
        <f>AX567-AX566*AX567</f>
        <v>0</v>
      </c>
      <c r="AY568" s="1370"/>
      <c r="AZ568" s="1370"/>
      <c r="BA568" s="195"/>
      <c r="BB568" s="1370">
        <f>BB567-BB566*BB567</f>
        <v>0</v>
      </c>
      <c r="BC568" s="1370"/>
      <c r="BD568" s="1370"/>
      <c r="BE568" s="195"/>
      <c r="BF568" s="1370">
        <f>BF567-BF566*BF567</f>
        <v>0</v>
      </c>
      <c r="BG568" s="1370"/>
      <c r="BH568" s="1370"/>
      <c r="BI568" s="195"/>
      <c r="BJ568" s="1370">
        <f>BJ567-BJ566*BJ567</f>
        <v>0</v>
      </c>
      <c r="BK568" s="1370"/>
      <c r="BL568" s="1370"/>
      <c r="BN568" s="1370">
        <f>SUM(AX568:BL568)</f>
        <v>0</v>
      </c>
      <c r="BO568" s="1370"/>
      <c r="BP568" s="1370"/>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Ventilatori gruppo freddo</v>
      </c>
      <c r="I571" s="191"/>
      <c r="J571" s="191"/>
      <c r="K571" s="191"/>
      <c r="L571" s="191"/>
      <c r="M571" s="191"/>
      <c r="N571" s="191"/>
      <c r="O571" s="191"/>
      <c r="P571" s="191"/>
      <c r="Q571" s="191"/>
      <c r="R571" s="191"/>
      <c r="S571" s="191"/>
      <c r="T571" s="191"/>
      <c r="U571" s="191"/>
      <c r="V571" s="191"/>
      <c r="W571" s="191"/>
      <c r="X571" s="191"/>
      <c r="Y571" s="191"/>
      <c r="Z571" s="1294" t="s">
        <v>94</v>
      </c>
      <c r="AA571" s="1294"/>
      <c r="AB571" s="1294"/>
      <c r="AD571" s="1294" t="s">
        <v>97</v>
      </c>
      <c r="AE571" s="1294"/>
      <c r="AF571" s="1294"/>
      <c r="AH571" s="1294" t="s">
        <v>98</v>
      </c>
      <c r="AI571" s="1294"/>
      <c r="AJ571" s="1294"/>
      <c r="AL571" s="1294" t="s">
        <v>99</v>
      </c>
      <c r="AM571" s="1294"/>
      <c r="AN571" s="1294"/>
      <c r="AO571" s="192"/>
      <c r="AP571" s="192"/>
      <c r="AQ571" s="192"/>
      <c r="AR571" s="192"/>
      <c r="AS571" s="192"/>
      <c r="AT571" s="192"/>
      <c r="AU571" s="192"/>
      <c r="AV571" s="192"/>
      <c r="AW571" s="192"/>
      <c r="AX571" s="1294" t="s">
        <v>94</v>
      </c>
      <c r="AY571" s="1294"/>
      <c r="AZ571" s="1294"/>
      <c r="BB571" s="1294" t="s">
        <v>97</v>
      </c>
      <c r="BC571" s="1294"/>
      <c r="BD571" s="1294"/>
      <c r="BF571" s="1294" t="s">
        <v>98</v>
      </c>
      <c r="BG571" s="1294"/>
      <c r="BH571" s="1294"/>
      <c r="BJ571" s="1294" t="s">
        <v>99</v>
      </c>
      <c r="BK571" s="1294"/>
      <c r="BL571" s="1294"/>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acceso/spento</v>
      </c>
      <c r="J572" s="191"/>
      <c r="K572" s="191"/>
      <c r="L572" s="191"/>
      <c r="M572" s="191"/>
      <c r="N572" s="191"/>
      <c r="O572" s="191"/>
      <c r="P572" s="191"/>
      <c r="Q572" s="191"/>
      <c r="R572" s="191"/>
      <c r="S572" s="191"/>
      <c r="T572" s="191"/>
      <c r="U572" s="191"/>
      <c r="V572" s="191"/>
      <c r="W572" s="191"/>
      <c r="X572" s="191"/>
      <c r="Y572" s="191"/>
      <c r="Z572" s="1422">
        <v>0</v>
      </c>
      <c r="AA572" s="1422"/>
      <c r="AB572" s="1422"/>
      <c r="AC572" s="198"/>
      <c r="AD572" s="1422">
        <v>0</v>
      </c>
      <c r="AE572" s="1422"/>
      <c r="AF572" s="1422"/>
      <c r="AG572" s="198"/>
      <c r="AH572" s="1422">
        <v>0</v>
      </c>
      <c r="AI572" s="1422"/>
      <c r="AJ572" s="1422"/>
      <c r="AK572" s="198"/>
      <c r="AL572" s="1422">
        <v>0</v>
      </c>
      <c r="AM572" s="1422"/>
      <c r="AN572" s="1422"/>
      <c r="AO572" s="192"/>
      <c r="AP572" s="192"/>
      <c r="AQ572" s="192"/>
      <c r="AR572" s="192"/>
      <c r="AS572" s="192"/>
      <c r="AT572" s="192"/>
      <c r="AU572" s="192"/>
      <c r="AV572" s="192"/>
      <c r="AW572" s="192"/>
      <c r="AX572" s="1294">
        <f>Z572</f>
        <v>0</v>
      </c>
      <c r="AY572" s="1294"/>
      <c r="AZ572" s="1294"/>
      <c r="BB572" s="1294">
        <f>AD572</f>
        <v>0</v>
      </c>
      <c r="BC572" s="1294"/>
      <c r="BD572" s="1294"/>
      <c r="BF572" s="1294">
        <f>AH572</f>
        <v>0</v>
      </c>
      <c r="BG572" s="1294"/>
      <c r="BH572" s="1294"/>
      <c r="BJ572" s="1294">
        <f>AL572</f>
        <v>0</v>
      </c>
      <c r="BK572" s="1294"/>
      <c r="BL572" s="1294"/>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comando in base al fabbisogno (modulabile CF/CE)</v>
      </c>
      <c r="J573" s="191"/>
      <c r="K573" s="191"/>
      <c r="L573" s="191"/>
      <c r="M573" s="191"/>
      <c r="N573" s="191"/>
      <c r="O573" s="191"/>
      <c r="P573" s="191"/>
      <c r="Q573" s="191"/>
      <c r="R573" s="191"/>
      <c r="S573" s="191"/>
      <c r="T573" s="191"/>
      <c r="U573" s="191"/>
      <c r="V573" s="191"/>
      <c r="W573" s="191"/>
      <c r="X573" s="191"/>
      <c r="Y573" s="191"/>
      <c r="Z573" s="1422">
        <v>0.3</v>
      </c>
      <c r="AA573" s="1422"/>
      <c r="AB573" s="1422"/>
      <c r="AC573" s="198"/>
      <c r="AD573" s="1422">
        <v>0</v>
      </c>
      <c r="AE573" s="1422"/>
      <c r="AF573" s="1422"/>
      <c r="AG573" s="198"/>
      <c r="AH573" s="1422">
        <v>0.3</v>
      </c>
      <c r="AI573" s="1422"/>
      <c r="AJ573" s="1422"/>
      <c r="AK573" s="198"/>
      <c r="AL573" s="1422">
        <v>0.5</v>
      </c>
      <c r="AM573" s="1422"/>
      <c r="AN573" s="1422"/>
      <c r="AO573" s="192"/>
      <c r="AP573" s="192"/>
      <c r="AQ573" s="192"/>
      <c r="AR573" s="192"/>
      <c r="AS573" s="192"/>
      <c r="AT573" s="192"/>
      <c r="AU573" s="192"/>
      <c r="AV573" s="192"/>
      <c r="AW573" s="192"/>
      <c r="AX573" s="1294">
        <f>Z573</f>
        <v>0.3</v>
      </c>
      <c r="AY573" s="1294"/>
      <c r="AZ573" s="1294"/>
      <c r="BB573" s="1294">
        <f>AD573</f>
        <v>0</v>
      </c>
      <c r="BC573" s="1294"/>
      <c r="BD573" s="1294"/>
      <c r="BF573" s="1294">
        <f>AH573</f>
        <v>0.3</v>
      </c>
      <c r="BG573" s="1294"/>
      <c r="BH573" s="1294"/>
      <c r="BJ573" s="1294">
        <f>AL573</f>
        <v>0.5</v>
      </c>
      <c r="BK573" s="1294"/>
      <c r="BL573" s="1294"/>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400">
        <f>AB91</f>
        <v>0</v>
      </c>
      <c r="AA575" s="1400"/>
      <c r="AB575" s="1400"/>
      <c r="AC575" s="1400"/>
      <c r="AD575" s="1400"/>
      <c r="AE575" s="1400"/>
      <c r="AF575" s="1400"/>
      <c r="AG575" s="1400"/>
      <c r="AH575" s="1400"/>
      <c r="AI575" s="1400"/>
      <c r="AJ575" s="1400"/>
      <c r="AK575" s="1400"/>
      <c r="AL575" s="1400"/>
      <c r="AM575" s="1400"/>
      <c r="AN575" s="1400"/>
      <c r="AO575" s="192"/>
      <c r="AP575" s="192"/>
      <c r="AQ575" s="192"/>
      <c r="AR575" s="192"/>
      <c r="AS575" s="192"/>
      <c r="AT575" s="192"/>
      <c r="AU575" s="192"/>
      <c r="AV575" s="192"/>
      <c r="AW575" s="192"/>
      <c r="AX575" s="1400">
        <f>AZ91</f>
        <v>0</v>
      </c>
      <c r="AY575" s="1400"/>
      <c r="AZ575" s="1400"/>
      <c r="BA575" s="1400"/>
      <c r="BB575" s="1400"/>
      <c r="BC575" s="1400"/>
      <c r="BD575" s="1400"/>
      <c r="BE575" s="1400"/>
      <c r="BF575" s="1400"/>
      <c r="BG575" s="1400"/>
      <c r="BH575" s="1400"/>
      <c r="BI575" s="1400"/>
      <c r="BJ575" s="1400"/>
      <c r="BK575" s="1400"/>
      <c r="BL575" s="1400"/>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30">
        <f>IF($I573=$Z575,Z573,Z572)</f>
        <v>0</v>
      </c>
      <c r="AA576" s="1330"/>
      <c r="AB576" s="1330"/>
      <c r="AC576" s="27"/>
      <c r="AD576" s="1330">
        <f>IF($I573=$Z575,AD573,AD572)</f>
        <v>0</v>
      </c>
      <c r="AE576" s="1330"/>
      <c r="AF576" s="1330"/>
      <c r="AG576" s="27"/>
      <c r="AH576" s="1330">
        <f>IF($I573=$Z575,AH573,AH572)</f>
        <v>0</v>
      </c>
      <c r="AI576" s="1330"/>
      <c r="AJ576" s="1330"/>
      <c r="AK576" s="27"/>
      <c r="AL576" s="1330">
        <f>IF($I573=$Z575,AL573,AL572)</f>
        <v>0</v>
      </c>
      <c r="AM576" s="1330"/>
      <c r="AN576" s="1330"/>
      <c r="AO576" s="192"/>
      <c r="AP576" s="1329">
        <f>IF(AP577=0,0,1-AP578/AP577)</f>
        <v>0</v>
      </c>
      <c r="AQ576" s="1329"/>
      <c r="AR576" s="1329"/>
      <c r="AS576" s="1329"/>
      <c r="AT576" s="1329"/>
      <c r="AU576" s="192"/>
      <c r="AV576" s="192"/>
      <c r="AW576" s="192"/>
      <c r="AX576" s="1330">
        <f>IF($I573=$AX575,AX573,AX572)</f>
        <v>0</v>
      </c>
      <c r="AY576" s="1330"/>
      <c r="AZ576" s="1330"/>
      <c r="BA576" s="27"/>
      <c r="BB576" s="1330">
        <f>IF($I573=$AX575,BB573,BB572)</f>
        <v>0</v>
      </c>
      <c r="BC576" s="1330"/>
      <c r="BD576" s="1330"/>
      <c r="BE576" s="27"/>
      <c r="BF576" s="1330">
        <f>IF($I573=$AX575,BF573,BF572)</f>
        <v>0</v>
      </c>
      <c r="BG576" s="1330"/>
      <c r="BH576" s="1330"/>
      <c r="BI576" s="27"/>
      <c r="BJ576" s="1330">
        <f>IF($I573=$AX575,BJ573,BJ572)</f>
        <v>0</v>
      </c>
      <c r="BK576" s="1330"/>
      <c r="BL576" s="1330"/>
      <c r="BM576" s="192"/>
      <c r="BN576" s="1329">
        <f>IF(BN577=0,0,1-BN578/BN577)</f>
        <v>0</v>
      </c>
      <c r="BO576" s="1329"/>
      <c r="BP576" s="1329"/>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280">
        <f>Z$512</f>
        <v>0</v>
      </c>
      <c r="AA577" s="1280"/>
      <c r="AB577" s="1280"/>
      <c r="AD577" s="1280">
        <f>AD$512</f>
        <v>0</v>
      </c>
      <c r="AE577" s="1280"/>
      <c r="AF577" s="1280"/>
      <c r="AH577" s="1280">
        <f>AH$512</f>
        <v>0</v>
      </c>
      <c r="AI577" s="1280"/>
      <c r="AJ577" s="1280"/>
      <c r="AL577" s="1280">
        <f>AL$512</f>
        <v>0</v>
      </c>
      <c r="AM577" s="1280"/>
      <c r="AN577" s="1280"/>
      <c r="AO577" s="192"/>
      <c r="AP577" s="1280">
        <f>SUM(Z577:AN577)</f>
        <v>0</v>
      </c>
      <c r="AQ577" s="1280"/>
      <c r="AR577" s="1280"/>
      <c r="AS577" s="1280"/>
      <c r="AT577" s="1280"/>
      <c r="AU577" s="192"/>
      <c r="AV577" s="192"/>
      <c r="AW577" s="192"/>
      <c r="AX577" s="1280">
        <f>AX$512</f>
        <v>0</v>
      </c>
      <c r="AY577" s="1280"/>
      <c r="AZ577" s="1280"/>
      <c r="BB577" s="1280">
        <f>BB$512</f>
        <v>0</v>
      </c>
      <c r="BC577" s="1280"/>
      <c r="BD577" s="1280"/>
      <c r="BF577" s="1280">
        <f>BF$512</f>
        <v>0</v>
      </c>
      <c r="BG577" s="1280"/>
      <c r="BH577" s="1280"/>
      <c r="BJ577" s="1280">
        <f>BJ$512</f>
        <v>0</v>
      </c>
      <c r="BK577" s="1280"/>
      <c r="BL577" s="1280"/>
      <c r="BM577" s="192"/>
      <c r="BN577" s="1280">
        <f>SUM(AX577:BL577)</f>
        <v>0</v>
      </c>
      <c r="BO577" s="1280"/>
      <c r="BP577" s="1280"/>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292">
        <f>Z577-Z576*Z577</f>
        <v>0</v>
      </c>
      <c r="AA578" s="1292"/>
      <c r="AB578" s="1292"/>
      <c r="AC578" s="194"/>
      <c r="AD578" s="1292">
        <f>AD577-AD576*AD577</f>
        <v>0</v>
      </c>
      <c r="AE578" s="1292"/>
      <c r="AF578" s="1292"/>
      <c r="AG578" s="194"/>
      <c r="AH578" s="1292">
        <f>AH577-AH576*AH577</f>
        <v>0</v>
      </c>
      <c r="AI578" s="1292"/>
      <c r="AJ578" s="1292"/>
      <c r="AK578" s="194"/>
      <c r="AL578" s="1292">
        <f>AL577-AL576*AL577</f>
        <v>0</v>
      </c>
      <c r="AM578" s="1292"/>
      <c r="AN578" s="1292"/>
      <c r="AO578" s="27"/>
      <c r="AP578" s="1292">
        <f>SUM(Z578:AN578)</f>
        <v>0</v>
      </c>
      <c r="AQ578" s="1292"/>
      <c r="AR578" s="1292"/>
      <c r="AS578" s="1292"/>
      <c r="AT578" s="1292"/>
      <c r="AV578" s="192"/>
      <c r="AW578" s="192"/>
      <c r="AX578" s="1370">
        <f>AX577-AX576*AX577</f>
        <v>0</v>
      </c>
      <c r="AY578" s="1370"/>
      <c r="AZ578" s="1370"/>
      <c r="BA578" s="195"/>
      <c r="BB578" s="1370">
        <f>BB577-BB576*BB577</f>
        <v>0</v>
      </c>
      <c r="BC578" s="1370"/>
      <c r="BD578" s="1370"/>
      <c r="BE578" s="195"/>
      <c r="BF578" s="1370">
        <f>BF577-BF576*BF577</f>
        <v>0</v>
      </c>
      <c r="BG578" s="1370"/>
      <c r="BH578" s="1370"/>
      <c r="BI578" s="195"/>
      <c r="BJ578" s="1370">
        <f>BJ577-BJ576*BJ577</f>
        <v>0</v>
      </c>
      <c r="BK578" s="1370"/>
      <c r="BL578" s="1370"/>
      <c r="BN578" s="1370">
        <f>SUM(AX578:BL578)</f>
        <v>0</v>
      </c>
      <c r="BO578" s="1370"/>
      <c r="BP578" s="1370"/>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4" t="s">
        <v>94</v>
      </c>
      <c r="AA581" s="1294"/>
      <c r="AB581" s="1294"/>
      <c r="AD581" s="1294" t="s">
        <v>97</v>
      </c>
      <c r="AE581" s="1294"/>
      <c r="AF581" s="1294"/>
      <c r="AH581" s="1294" t="s">
        <v>98</v>
      </c>
      <c r="AI581" s="1294"/>
      <c r="AJ581" s="1294"/>
      <c r="AL581" s="1294" t="s">
        <v>99</v>
      </c>
      <c r="AM581" s="1294"/>
      <c r="AN581" s="1294"/>
      <c r="AO581" s="192"/>
      <c r="AP581" s="192"/>
      <c r="AQ581" s="192"/>
      <c r="AR581" s="192"/>
      <c r="AS581" s="192"/>
      <c r="AT581" s="192"/>
      <c r="AU581" s="192"/>
      <c r="AV581" s="192"/>
      <c r="AW581" s="192"/>
      <c r="AX581" s="1294" t="s">
        <v>94</v>
      </c>
      <c r="AY581" s="1294"/>
      <c r="AZ581" s="1294"/>
      <c r="BB581" s="1294" t="s">
        <v>97</v>
      </c>
      <c r="BC581" s="1294"/>
      <c r="BD581" s="1294"/>
      <c r="BF581" s="1294" t="s">
        <v>98</v>
      </c>
      <c r="BG581" s="1294"/>
      <c r="BH581" s="1294"/>
      <c r="BJ581" s="1294" t="s">
        <v>99</v>
      </c>
      <c r="BK581" s="1294"/>
      <c r="BL581" s="1294"/>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acceso/spento</v>
      </c>
      <c r="J582" s="191"/>
      <c r="K582" s="191"/>
      <c r="L582" s="191"/>
      <c r="M582" s="191"/>
      <c r="N582" s="191"/>
      <c r="O582" s="191"/>
      <c r="P582" s="191"/>
      <c r="Q582" s="191"/>
      <c r="R582" s="191"/>
      <c r="S582" s="191"/>
      <c r="T582" s="191"/>
      <c r="U582" s="191"/>
      <c r="V582" s="191"/>
      <c r="W582" s="191"/>
      <c r="X582" s="191"/>
      <c r="Y582" s="191"/>
      <c r="Z582" s="1422">
        <v>0</v>
      </c>
      <c r="AA582" s="1422"/>
      <c r="AB582" s="1422"/>
      <c r="AC582" s="198"/>
      <c r="AD582" s="1422">
        <v>0</v>
      </c>
      <c r="AE582" s="1422"/>
      <c r="AF582" s="1422"/>
      <c r="AG582" s="198"/>
      <c r="AH582" s="1422">
        <v>0</v>
      </c>
      <c r="AI582" s="1422"/>
      <c r="AJ582" s="1422"/>
      <c r="AK582" s="198"/>
      <c r="AL582" s="1422">
        <v>0</v>
      </c>
      <c r="AM582" s="1422"/>
      <c r="AN582" s="1422"/>
      <c r="AO582" s="192"/>
      <c r="AP582" s="192"/>
      <c r="AQ582" s="192"/>
      <c r="AR582" s="192"/>
      <c r="AS582" s="192"/>
      <c r="AT582" s="192"/>
      <c r="AU582" s="192"/>
      <c r="AV582" s="192"/>
      <c r="AW582" s="192"/>
      <c r="AX582" s="1294">
        <f>Z582</f>
        <v>0</v>
      </c>
      <c r="AY582" s="1294"/>
      <c r="AZ582" s="1294"/>
      <c r="BB582" s="1294">
        <f>AD582</f>
        <v>0</v>
      </c>
      <c r="BC582" s="1294"/>
      <c r="BD582" s="1294"/>
      <c r="BF582" s="1294">
        <f>AH582</f>
        <v>0</v>
      </c>
      <c r="BG582" s="1294"/>
      <c r="BH582" s="1294"/>
      <c r="BJ582" s="1294">
        <f>AL582</f>
        <v>0</v>
      </c>
      <c r="BK582" s="1294"/>
      <c r="BL582" s="1294"/>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comando in base al fabbisogno (modulabile CF/CE)</v>
      </c>
      <c r="J583" s="191"/>
      <c r="K583" s="191"/>
      <c r="L583" s="191"/>
      <c r="M583" s="191"/>
      <c r="N583" s="191"/>
      <c r="O583" s="191"/>
      <c r="P583" s="191"/>
      <c r="Q583" s="191"/>
      <c r="R583" s="191"/>
      <c r="S583" s="191"/>
      <c r="T583" s="191"/>
      <c r="U583" s="191"/>
      <c r="V583" s="191"/>
      <c r="W583" s="191"/>
      <c r="X583" s="191"/>
      <c r="Y583" s="191"/>
      <c r="Z583" s="1422">
        <v>0.3</v>
      </c>
      <c r="AA583" s="1422"/>
      <c r="AB583" s="1422"/>
      <c r="AC583" s="198"/>
      <c r="AD583" s="1422">
        <v>0</v>
      </c>
      <c r="AE583" s="1422"/>
      <c r="AF583" s="1422"/>
      <c r="AG583" s="198"/>
      <c r="AH583" s="1422">
        <v>0.3</v>
      </c>
      <c r="AI583" s="1422"/>
      <c r="AJ583" s="1422"/>
      <c r="AK583" s="198"/>
      <c r="AL583" s="1422">
        <v>0.5</v>
      </c>
      <c r="AM583" s="1422"/>
      <c r="AN583" s="1422"/>
      <c r="AO583" s="192"/>
      <c r="AP583" s="192"/>
      <c r="AQ583" s="192"/>
      <c r="AR583" s="192"/>
      <c r="AS583" s="192"/>
      <c r="AT583" s="192"/>
      <c r="AU583" s="192"/>
      <c r="AV583" s="192"/>
      <c r="AW583" s="192"/>
      <c r="AX583" s="1294">
        <f>Z583</f>
        <v>0.3</v>
      </c>
      <c r="AY583" s="1294"/>
      <c r="AZ583" s="1294"/>
      <c r="BB583" s="1294">
        <f>AD583</f>
        <v>0</v>
      </c>
      <c r="BC583" s="1294"/>
      <c r="BD583" s="1294"/>
      <c r="BF583" s="1294">
        <f>AH583</f>
        <v>0.3</v>
      </c>
      <c r="BG583" s="1294"/>
      <c r="BH583" s="1294"/>
      <c r="BJ583" s="1294">
        <f>AL583</f>
        <v>0.5</v>
      </c>
      <c r="BK583" s="1294"/>
      <c r="BL583" s="1294"/>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400">
        <f>AB93</f>
        <v>0</v>
      </c>
      <c r="AA585" s="1400"/>
      <c r="AB585" s="1400"/>
      <c r="AC585" s="1400"/>
      <c r="AD585" s="1400"/>
      <c r="AE585" s="1400"/>
      <c r="AF585" s="1400"/>
      <c r="AG585" s="1400"/>
      <c r="AH585" s="1400"/>
      <c r="AI585" s="1400"/>
      <c r="AJ585" s="1400"/>
      <c r="AK585" s="1400"/>
      <c r="AL585" s="1400"/>
      <c r="AM585" s="1400"/>
      <c r="AN585" s="1400"/>
      <c r="AO585" s="192"/>
      <c r="AP585" s="192"/>
      <c r="AQ585" s="192"/>
      <c r="AR585" s="192"/>
      <c r="AS585" s="192"/>
      <c r="AT585" s="192"/>
      <c r="AU585" s="192"/>
      <c r="AV585" s="192"/>
      <c r="AW585" s="192"/>
      <c r="AX585" s="1400">
        <f>AZ93</f>
        <v>0</v>
      </c>
      <c r="AY585" s="1400"/>
      <c r="AZ585" s="1400"/>
      <c r="BA585" s="1400"/>
      <c r="BB585" s="1400"/>
      <c r="BC585" s="1400"/>
      <c r="BD585" s="1400"/>
      <c r="BE585" s="1400"/>
      <c r="BF585" s="1400"/>
      <c r="BG585" s="1400"/>
      <c r="BH585" s="1400"/>
      <c r="BI585" s="1400"/>
      <c r="BJ585" s="1400"/>
      <c r="BK585" s="1400"/>
      <c r="BL585" s="1400"/>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30">
        <f>IF($I583=$Z585,Z583,Z582)</f>
        <v>0</v>
      </c>
      <c r="AA586" s="1330"/>
      <c r="AB586" s="1330"/>
      <c r="AC586" s="27"/>
      <c r="AD586" s="1330">
        <f>IF($I583=$Z585,AD583,AD582)</f>
        <v>0</v>
      </c>
      <c r="AE586" s="1330"/>
      <c r="AF586" s="1330"/>
      <c r="AG586" s="27"/>
      <c r="AH586" s="1330">
        <f>IF($I583=$Z585,AH583,AH582)</f>
        <v>0</v>
      </c>
      <c r="AI586" s="1330"/>
      <c r="AJ586" s="1330"/>
      <c r="AK586" s="27"/>
      <c r="AL586" s="1330">
        <f>IF($I583=$Z585,AL583,AL582)</f>
        <v>0</v>
      </c>
      <c r="AM586" s="1330"/>
      <c r="AN586" s="1330"/>
      <c r="AO586" s="192"/>
      <c r="AP586" s="1329">
        <f>IF(AP587=0,0,1-AP588/AP587)</f>
        <v>0</v>
      </c>
      <c r="AQ586" s="1329"/>
      <c r="AR586" s="1329"/>
      <c r="AS586" s="1329"/>
      <c r="AT586" s="1329"/>
      <c r="AU586" s="192"/>
      <c r="AV586" s="192"/>
      <c r="AW586" s="192"/>
      <c r="AX586" s="1330">
        <f>IF($I583=$AX585,AX583,AX582)</f>
        <v>0</v>
      </c>
      <c r="AY586" s="1330"/>
      <c r="AZ586" s="1330"/>
      <c r="BA586" s="27"/>
      <c r="BB586" s="1330">
        <f>IF($I583=$AX585,BB583,BB582)</f>
        <v>0</v>
      </c>
      <c r="BC586" s="1330"/>
      <c r="BD586" s="1330"/>
      <c r="BE586" s="27"/>
      <c r="BF586" s="1330">
        <f>IF($I583=$AX585,BF583,BF582)</f>
        <v>0</v>
      </c>
      <c r="BG586" s="1330"/>
      <c r="BH586" s="1330"/>
      <c r="BI586" s="27"/>
      <c r="BJ586" s="1330">
        <f>IF($I583=$AX585,BJ583,BJ582)</f>
        <v>0</v>
      </c>
      <c r="BK586" s="1330"/>
      <c r="BL586" s="1330"/>
      <c r="BM586" s="192"/>
      <c r="BN586" s="1329">
        <f>IF(BN587=0,0,1-BN588/BN587)</f>
        <v>0</v>
      </c>
      <c r="BO586" s="1329"/>
      <c r="BP586" s="1329"/>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280">
        <f>Z$512</f>
        <v>0</v>
      </c>
      <c r="AA587" s="1280"/>
      <c r="AB587" s="1280"/>
      <c r="AD587" s="1280">
        <f>AD$512</f>
        <v>0</v>
      </c>
      <c r="AE587" s="1280"/>
      <c r="AF587" s="1280"/>
      <c r="AH587" s="1280">
        <f>AH$512</f>
        <v>0</v>
      </c>
      <c r="AI587" s="1280"/>
      <c r="AJ587" s="1280"/>
      <c r="AL587" s="1280">
        <f>AL$512</f>
        <v>0</v>
      </c>
      <c r="AM587" s="1280"/>
      <c r="AN587" s="1280"/>
      <c r="AO587" s="192"/>
      <c r="AP587" s="1280">
        <f>SUM(Z587:AN587)</f>
        <v>0</v>
      </c>
      <c r="AQ587" s="1280"/>
      <c r="AR587" s="1280"/>
      <c r="AS587" s="1280"/>
      <c r="AT587" s="1280"/>
      <c r="AU587" s="192"/>
      <c r="AV587" s="192"/>
      <c r="AW587" s="192"/>
      <c r="AX587" s="1280">
        <f>AX$512</f>
        <v>0</v>
      </c>
      <c r="AY587" s="1280"/>
      <c r="AZ587" s="1280"/>
      <c r="BB587" s="1280">
        <f>BB$512</f>
        <v>0</v>
      </c>
      <c r="BC587" s="1280"/>
      <c r="BD587" s="1280"/>
      <c r="BF587" s="1280">
        <f>BF$512</f>
        <v>0</v>
      </c>
      <c r="BG587" s="1280"/>
      <c r="BH587" s="1280"/>
      <c r="BJ587" s="1280">
        <f>BJ$512</f>
        <v>0</v>
      </c>
      <c r="BK587" s="1280"/>
      <c r="BL587" s="1280"/>
      <c r="BM587" s="192"/>
      <c r="BN587" s="1280">
        <f>SUM(AX587:BL587)</f>
        <v>0</v>
      </c>
      <c r="BO587" s="1280"/>
      <c r="BP587" s="1280"/>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292">
        <f>Z587-Z586*Z587</f>
        <v>0</v>
      </c>
      <c r="AA588" s="1292"/>
      <c r="AB588" s="1292"/>
      <c r="AC588" s="194"/>
      <c r="AD588" s="1292">
        <f>AD587-AD586*AD587</f>
        <v>0</v>
      </c>
      <c r="AE588" s="1292"/>
      <c r="AF588" s="1292"/>
      <c r="AG588" s="194"/>
      <c r="AH588" s="1292">
        <f>AH587-AH586*AH587</f>
        <v>0</v>
      </c>
      <c r="AI588" s="1292"/>
      <c r="AJ588" s="1292"/>
      <c r="AK588" s="194"/>
      <c r="AL588" s="1292">
        <f>AL587-AL586*AL587</f>
        <v>0</v>
      </c>
      <c r="AM588" s="1292"/>
      <c r="AN588" s="1292"/>
      <c r="AO588" s="27"/>
      <c r="AP588" s="1292">
        <f>SUM(Z588:AN588)</f>
        <v>0</v>
      </c>
      <c r="AQ588" s="1292"/>
      <c r="AR588" s="1292"/>
      <c r="AS588" s="1292"/>
      <c r="AT588" s="1292"/>
      <c r="AV588" s="192"/>
      <c r="AW588" s="192"/>
      <c r="AX588" s="1370">
        <f>AX587-AX586*AX587</f>
        <v>0</v>
      </c>
      <c r="AY588" s="1370"/>
      <c r="AZ588" s="1370"/>
      <c r="BA588" s="195"/>
      <c r="BB588" s="1370">
        <f>BB587-BB586*BB587</f>
        <v>0</v>
      </c>
      <c r="BC588" s="1370"/>
      <c r="BD588" s="1370"/>
      <c r="BE588" s="195"/>
      <c r="BF588" s="1370">
        <f>BF587-BF586*BF587</f>
        <v>0</v>
      </c>
      <c r="BG588" s="1370"/>
      <c r="BH588" s="1370"/>
      <c r="BI588" s="195"/>
      <c r="BJ588" s="1370">
        <f>BJ587-BJ586*BJ587</f>
        <v>0</v>
      </c>
      <c r="BK588" s="1370"/>
      <c r="BL588" s="1370"/>
      <c r="BN588" s="1370">
        <f>SUM(AX588:BL588)</f>
        <v>0</v>
      </c>
      <c r="BO588" s="1370"/>
      <c r="BP588" s="1370"/>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58">
        <f>X42</f>
        <v>0</v>
      </c>
      <c r="Y593" s="1458"/>
      <c r="Z593" s="1458"/>
      <c r="AA593" s="1458"/>
      <c r="AB593" s="1458"/>
      <c r="AC593" s="1458"/>
      <c r="AD593" s="1458"/>
      <c r="AE593" s="1458"/>
      <c r="AF593" s="1458"/>
      <c r="AG593" s="1458"/>
      <c r="AH593" s="1458"/>
      <c r="AI593" s="1458"/>
      <c r="AJ593" s="1458"/>
      <c r="AK593" s="1458"/>
      <c r="AL593" s="1458"/>
      <c r="AM593" s="1458"/>
      <c r="AN593" s="1458"/>
      <c r="AO593" s="1458"/>
      <c r="AP593" s="1459"/>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58" t="str">
        <f>IF(X593=0,H605,X593)</f>
        <v>Zurigo</v>
      </c>
      <c r="Y595" s="1458"/>
      <c r="Z595" s="1458"/>
      <c r="AA595" s="1458"/>
      <c r="AB595" s="1458"/>
      <c r="AC595" s="1458"/>
      <c r="AD595" s="1458"/>
      <c r="AE595" s="1458"/>
      <c r="AF595" s="1458"/>
      <c r="AG595" s="1458"/>
      <c r="AH595" s="1458"/>
      <c r="AI595" s="1458"/>
      <c r="AJ595" s="1458"/>
      <c r="AK595" s="1458"/>
      <c r="AL595" s="1458"/>
      <c r="AM595" s="1458"/>
      <c r="AN595" s="1458"/>
      <c r="AO595" s="1458"/>
      <c r="AP595" s="1459"/>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Primavera</v>
      </c>
      <c r="I597" s="14"/>
      <c r="J597" s="14"/>
      <c r="K597" s="14"/>
      <c r="L597" s="14"/>
      <c r="M597" s="14"/>
      <c r="N597" s="1502" t="s">
        <v>143</v>
      </c>
      <c r="O597" s="1502"/>
      <c r="P597" s="1502"/>
      <c r="Q597" s="26"/>
      <c r="R597" s="1502" t="s">
        <v>144</v>
      </c>
      <c r="S597" s="1502"/>
      <c r="T597" s="1502"/>
      <c r="U597" s="26"/>
      <c r="V597" s="1502" t="s">
        <v>145</v>
      </c>
      <c r="W597" s="1502"/>
      <c r="X597" s="1502"/>
      <c r="Y597" s="26"/>
      <c r="Z597" s="1452" t="s">
        <v>198</v>
      </c>
      <c r="AA597" s="1452"/>
      <c r="AB597" s="1452"/>
      <c r="AC597" s="14"/>
      <c r="AD597" s="1490">
        <f>SUM(AD598:AF605)</f>
        <v>0</v>
      </c>
      <c r="AE597" s="1491"/>
      <c r="AF597" s="1491"/>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Basilea</v>
      </c>
      <c r="I598" s="15"/>
      <c r="J598" s="15"/>
      <c r="K598" s="15"/>
      <c r="L598" s="15"/>
      <c r="M598" s="15"/>
      <c r="N598" s="1279">
        <v>7.9877419354838706</v>
      </c>
      <c r="O598" s="1279"/>
      <c r="P598" s="1279"/>
      <c r="Q598" s="983"/>
      <c r="R598" s="1279">
        <v>13.434000000000001</v>
      </c>
      <c r="S598" s="1279"/>
      <c r="T598" s="1279"/>
      <c r="U598" s="983"/>
      <c r="V598" s="1279">
        <v>16.869999999999997</v>
      </c>
      <c r="W598" s="1279"/>
      <c r="X598" s="1279"/>
      <c r="Y598" s="15"/>
      <c r="Z598" s="1280">
        <f t="shared" ref="Z598:Z605" si="87">AVERAGE(N598:X598)</f>
        <v>12.763913978494623</v>
      </c>
      <c r="AA598" s="1280">
        <f t="shared" ref="AA598:AB605" si="88">(4.8+9.5+13)/3</f>
        <v>9.1</v>
      </c>
      <c r="AB598" s="1280">
        <f t="shared" si="88"/>
        <v>9.1</v>
      </c>
      <c r="AC598" s="16"/>
      <c r="AD598" s="1292">
        <f>IF(H598=X$593,Z598,0)</f>
        <v>0</v>
      </c>
      <c r="AE598" s="1292"/>
      <c r="AF598" s="1292"/>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Berna</v>
      </c>
      <c r="I599" s="15"/>
      <c r="J599" s="15"/>
      <c r="K599" s="15"/>
      <c r="L599" s="15"/>
      <c r="M599" s="15"/>
      <c r="N599" s="1279">
        <v>6.5119354838709684</v>
      </c>
      <c r="O599" s="1279"/>
      <c r="P599" s="1279"/>
      <c r="Q599" s="983"/>
      <c r="R599" s="1279">
        <v>12.053333333333335</v>
      </c>
      <c r="S599" s="1279"/>
      <c r="T599" s="1279"/>
      <c r="U599" s="983"/>
      <c r="V599" s="1279">
        <v>15.602258064516132</v>
      </c>
      <c r="W599" s="1279"/>
      <c r="X599" s="1279"/>
      <c r="Y599" s="15"/>
      <c r="Z599" s="1280">
        <f t="shared" si="87"/>
        <v>11.389175627240144</v>
      </c>
      <c r="AA599" s="1280">
        <f t="shared" si="88"/>
        <v>9.1</v>
      </c>
      <c r="AB599" s="1280">
        <f t="shared" si="88"/>
        <v>9.1</v>
      </c>
      <c r="AC599" s="16"/>
      <c r="AD599" s="1292">
        <f t="shared" ref="AD599:AD605" si="89">IF(H599=X$593,Z599,0)</f>
        <v>0</v>
      </c>
      <c r="AE599" s="1292"/>
      <c r="AF599" s="1292"/>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279">
        <v>-2.6</v>
      </c>
      <c r="O600" s="1279"/>
      <c r="P600" s="1279"/>
      <c r="Q600" s="983"/>
      <c r="R600" s="1279">
        <v>2.4</v>
      </c>
      <c r="S600" s="1279"/>
      <c r="T600" s="1279"/>
      <c r="U600" s="983"/>
      <c r="V600" s="1279">
        <v>6.7</v>
      </c>
      <c r="W600" s="1279"/>
      <c r="X600" s="1279"/>
      <c r="Y600" s="15"/>
      <c r="Z600" s="1280">
        <f t="shared" si="87"/>
        <v>2.1666666666666665</v>
      </c>
      <c r="AA600" s="1280">
        <f t="shared" si="88"/>
        <v>9.1</v>
      </c>
      <c r="AB600" s="1280">
        <f t="shared" si="88"/>
        <v>9.1</v>
      </c>
      <c r="AC600" s="16"/>
      <c r="AD600" s="1292">
        <f>IF(H600=X$593,Z600,0)</f>
        <v>0</v>
      </c>
      <c r="AE600" s="1292"/>
      <c r="AF600" s="1292"/>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Ginevra</v>
      </c>
      <c r="I601" s="15"/>
      <c r="J601" s="15"/>
      <c r="K601" s="15"/>
      <c r="L601" s="15"/>
      <c r="M601" s="15"/>
      <c r="N601" s="1279">
        <v>8.1058064516129029</v>
      </c>
      <c r="O601" s="1279"/>
      <c r="P601" s="1279"/>
      <c r="Q601" s="983"/>
      <c r="R601" s="1279">
        <v>13.476000000000003</v>
      </c>
      <c r="S601" s="1279"/>
      <c r="T601" s="1279"/>
      <c r="U601" s="983"/>
      <c r="V601" s="1279">
        <v>16.889354838709675</v>
      </c>
      <c r="W601" s="1279"/>
      <c r="X601" s="1279"/>
      <c r="Y601" s="15"/>
      <c r="Z601" s="1280">
        <f t="shared" si="87"/>
        <v>12.823720430107528</v>
      </c>
      <c r="AA601" s="1280">
        <f t="shared" si="88"/>
        <v>9.1</v>
      </c>
      <c r="AB601" s="1280">
        <f t="shared" si="88"/>
        <v>9.1</v>
      </c>
      <c r="AC601" s="16"/>
      <c r="AD601" s="1292">
        <f t="shared" si="89"/>
        <v>0</v>
      </c>
      <c r="AE601" s="1292"/>
      <c r="AF601" s="1292"/>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279">
        <v>3.9619354838709682</v>
      </c>
      <c r="O602" s="1279"/>
      <c r="P602" s="1279"/>
      <c r="Q602" s="983"/>
      <c r="R602" s="1279">
        <v>9.2540000000000013</v>
      </c>
      <c r="S602" s="1279"/>
      <c r="T602" s="1279"/>
      <c r="U602" s="983"/>
      <c r="V602" s="1279">
        <v>12.42</v>
      </c>
      <c r="W602" s="1279"/>
      <c r="X602" s="1279"/>
      <c r="Y602" s="15"/>
      <c r="Z602" s="1280">
        <f t="shared" ref="Z602" si="90">AVERAGE(N602:X602)</f>
        <v>8.54531182795699</v>
      </c>
      <c r="AA602" s="1280">
        <f t="shared" si="88"/>
        <v>9.1</v>
      </c>
      <c r="AB602" s="1280">
        <f t="shared" si="88"/>
        <v>9.1</v>
      </c>
      <c r="AC602" s="16"/>
      <c r="AD602" s="1292">
        <f t="shared" ref="AD602" si="91">IF(H602=X$593,Z602,0)</f>
        <v>0</v>
      </c>
      <c r="AE602" s="1292"/>
      <c r="AF602" s="1292"/>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279">
        <v>9.8825806451612905</v>
      </c>
      <c r="O603" s="1279"/>
      <c r="P603" s="1279"/>
      <c r="Q603" s="983"/>
      <c r="R603" s="1279">
        <v>14.089333333333334</v>
      </c>
      <c r="S603" s="1279"/>
      <c r="T603" s="1279"/>
      <c r="U603" s="983"/>
      <c r="V603" s="1279">
        <v>18.090967741935479</v>
      </c>
      <c r="W603" s="1279"/>
      <c r="X603" s="1279"/>
      <c r="Y603" s="15"/>
      <c r="Z603" s="1280">
        <f t="shared" si="87"/>
        <v>14.020960573476701</v>
      </c>
      <c r="AA603" s="1280">
        <f t="shared" si="88"/>
        <v>9.1</v>
      </c>
      <c r="AB603" s="1280">
        <f t="shared" si="88"/>
        <v>9.1</v>
      </c>
      <c r="AC603" s="16"/>
      <c r="AD603" s="1292">
        <f t="shared" si="89"/>
        <v>0</v>
      </c>
      <c r="AE603" s="1292"/>
      <c r="AF603" s="1292"/>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San Gallo</v>
      </c>
      <c r="I604" s="15"/>
      <c r="J604" s="15"/>
      <c r="K604" s="15"/>
      <c r="L604" s="15"/>
      <c r="M604" s="15"/>
      <c r="N604" s="1279">
        <v>4.8217018909899894</v>
      </c>
      <c r="O604" s="1279"/>
      <c r="P604" s="1279"/>
      <c r="Q604" s="983"/>
      <c r="R604" s="1279">
        <v>10.16</v>
      </c>
      <c r="S604" s="1279"/>
      <c r="T604" s="1279"/>
      <c r="U604" s="983"/>
      <c r="V604" s="1279">
        <v>13.814838709677421</v>
      </c>
      <c r="W604" s="1279"/>
      <c r="X604" s="1279"/>
      <c r="Y604" s="15"/>
      <c r="Z604" s="1280">
        <f t="shared" si="87"/>
        <v>9.5988468668891365</v>
      </c>
      <c r="AA604" s="1280">
        <f t="shared" si="88"/>
        <v>9.1</v>
      </c>
      <c r="AB604" s="1280">
        <f t="shared" si="88"/>
        <v>9.1</v>
      </c>
      <c r="AC604" s="16"/>
      <c r="AD604" s="1292">
        <f t="shared" si="89"/>
        <v>0</v>
      </c>
      <c r="AE604" s="1292"/>
      <c r="AF604" s="1292"/>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Zurigo</v>
      </c>
      <c r="I605" s="15"/>
      <c r="J605" s="15"/>
      <c r="K605" s="15"/>
      <c r="L605" s="15"/>
      <c r="M605" s="15"/>
      <c r="N605" s="1279">
        <v>6.5819354838709669</v>
      </c>
      <c r="O605" s="1279"/>
      <c r="P605" s="1279"/>
      <c r="Q605" s="983"/>
      <c r="R605" s="1279">
        <v>12.138999999999999</v>
      </c>
      <c r="S605" s="1279"/>
      <c r="T605" s="1279"/>
      <c r="U605" s="983"/>
      <c r="V605" s="1279">
        <v>15.498387096774195</v>
      </c>
      <c r="W605" s="1279"/>
      <c r="X605" s="1279"/>
      <c r="Y605" s="15"/>
      <c r="Z605" s="1280">
        <f t="shared" si="87"/>
        <v>11.406440860215055</v>
      </c>
      <c r="AA605" s="1280">
        <f t="shared" si="88"/>
        <v>9.1</v>
      </c>
      <c r="AB605" s="1280">
        <f t="shared" si="88"/>
        <v>9.1</v>
      </c>
      <c r="AC605" s="16"/>
      <c r="AD605" s="1292">
        <f t="shared" si="89"/>
        <v>0</v>
      </c>
      <c r="AE605" s="1292"/>
      <c r="AF605" s="1292"/>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Estate</v>
      </c>
      <c r="I608" s="14"/>
      <c r="J608" s="14"/>
      <c r="K608" s="14"/>
      <c r="L608" s="14"/>
      <c r="M608" s="14"/>
      <c r="N608" s="1287" t="s">
        <v>146</v>
      </c>
      <c r="O608" s="1287"/>
      <c r="P608" s="1287"/>
      <c r="Q608" s="988"/>
      <c r="R608" s="1287" t="s">
        <v>147</v>
      </c>
      <c r="S608" s="1287"/>
      <c r="T608" s="1287"/>
      <c r="U608" s="988"/>
      <c r="V608" s="1287" t="s">
        <v>148</v>
      </c>
      <c r="W608" s="1287"/>
      <c r="X608" s="1287"/>
      <c r="Y608" s="26"/>
      <c r="Z608" s="1452" t="s">
        <v>155</v>
      </c>
      <c r="AA608" s="1452"/>
      <c r="AB608" s="1452"/>
      <c r="AC608" s="14"/>
      <c r="AD608" s="1490">
        <f>SUM(AD609:AF616)</f>
        <v>0</v>
      </c>
      <c r="AE608" s="1491"/>
      <c r="AF608" s="1491"/>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Basilea</v>
      </c>
      <c r="I609" s="15"/>
      <c r="J609" s="15"/>
      <c r="K609" s="15"/>
      <c r="L609" s="15"/>
      <c r="M609" s="15"/>
      <c r="N609" s="1279">
        <v>20.448333333333331</v>
      </c>
      <c r="O609" s="1279"/>
      <c r="P609" s="1279"/>
      <c r="Q609" s="983"/>
      <c r="R609" s="1279">
        <v>22.596774193548388</v>
      </c>
      <c r="S609" s="1279"/>
      <c r="T609" s="1279"/>
      <c r="U609" s="983"/>
      <c r="V609" s="1279">
        <v>21.15</v>
      </c>
      <c r="W609" s="1279"/>
      <c r="X609" s="1279"/>
      <c r="Y609" s="15"/>
      <c r="Z609" s="1280">
        <f t="shared" ref="Z609:Z616" si="92">AVERAGE(N609:X609)</f>
        <v>21.398369175627238</v>
      </c>
      <c r="AA609" s="1280">
        <f t="shared" ref="AA609:AB616" si="93">(4.8+9.5+13)/3</f>
        <v>9.1</v>
      </c>
      <c r="AB609" s="1280">
        <f t="shared" si="93"/>
        <v>9.1</v>
      </c>
      <c r="AC609" s="16"/>
      <c r="AD609" s="1292">
        <f>IF(H609=X$593,Z609,0)</f>
        <v>0</v>
      </c>
      <c r="AE609" s="1292"/>
      <c r="AF609" s="1292"/>
      <c r="AG609" s="27"/>
      <c r="BQ609" s="201"/>
    </row>
    <row r="610" spans="5:124" ht="16" hidden="1" outlineLevel="1" x14ac:dyDescent="0.15">
      <c r="H610" s="380" t="str">
        <f t="shared" ref="H610:H616" si="94">H599</f>
        <v>Berna</v>
      </c>
      <c r="I610" s="15"/>
      <c r="J610" s="15"/>
      <c r="K610" s="15"/>
      <c r="L610" s="15"/>
      <c r="M610" s="15"/>
      <c r="N610" s="1279">
        <v>19.423999999999999</v>
      </c>
      <c r="O610" s="1279"/>
      <c r="P610" s="1279"/>
      <c r="Q610" s="983"/>
      <c r="R610" s="1279">
        <v>21.546774193548387</v>
      </c>
      <c r="S610" s="1279"/>
      <c r="T610" s="1279"/>
      <c r="U610" s="983"/>
      <c r="V610" s="1279">
        <v>20.179677419354839</v>
      </c>
      <c r="W610" s="1279"/>
      <c r="X610" s="1279"/>
      <c r="Y610" s="15"/>
      <c r="Z610" s="1280">
        <f t="shared" si="92"/>
        <v>20.383483870967741</v>
      </c>
      <c r="AA610" s="1280">
        <f t="shared" si="93"/>
        <v>9.1</v>
      </c>
      <c r="AB610" s="1280">
        <f t="shared" si="93"/>
        <v>9.1</v>
      </c>
      <c r="AC610" s="16"/>
      <c r="AD610" s="1292">
        <f t="shared" ref="AD610:AD616" si="95">IF(H610=X$593,Z610,0)</f>
        <v>0</v>
      </c>
      <c r="AE610" s="1292"/>
      <c r="AF610" s="1292"/>
      <c r="AG610" s="27"/>
      <c r="BQ610" s="201"/>
    </row>
    <row r="611" spans="5:124" s="27" customFormat="1" ht="19" hidden="1" customHeight="1" outlineLevel="1" x14ac:dyDescent="0.15">
      <c r="E611" s="201"/>
      <c r="H611" s="380" t="str">
        <f t="shared" si="94"/>
        <v>Davos</v>
      </c>
      <c r="I611" s="15"/>
      <c r="J611" s="15"/>
      <c r="K611" s="15"/>
      <c r="L611" s="15"/>
      <c r="M611" s="15"/>
      <c r="N611" s="1279">
        <v>10.6</v>
      </c>
      <c r="O611" s="1279"/>
      <c r="P611" s="1279"/>
      <c r="Q611" s="983"/>
      <c r="R611" s="1279">
        <v>12.3</v>
      </c>
      <c r="S611" s="1279"/>
      <c r="T611" s="1279"/>
      <c r="U611" s="983"/>
      <c r="V611" s="1279">
        <v>11.4</v>
      </c>
      <c r="W611" s="1279"/>
      <c r="X611" s="1279"/>
      <c r="Y611" s="15"/>
      <c r="Z611" s="1280">
        <f t="shared" si="92"/>
        <v>11.433333333333332</v>
      </c>
      <c r="AA611" s="1280">
        <f t="shared" si="93"/>
        <v>9.1</v>
      </c>
      <c r="AB611" s="1280">
        <f t="shared" si="93"/>
        <v>9.1</v>
      </c>
      <c r="AC611" s="16"/>
      <c r="AD611" s="1292">
        <f t="shared" si="95"/>
        <v>0</v>
      </c>
      <c r="AE611" s="1292"/>
      <c r="AF611" s="1292"/>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Ginevra</v>
      </c>
      <c r="I612" s="15"/>
      <c r="J612" s="15"/>
      <c r="K612" s="15"/>
      <c r="L612" s="15"/>
      <c r="M612" s="15"/>
      <c r="N612" s="1279">
        <v>20.847356321839079</v>
      </c>
      <c r="O612" s="1279"/>
      <c r="P612" s="1279"/>
      <c r="Q612" s="983"/>
      <c r="R612" s="1279">
        <v>23.107741935483865</v>
      </c>
      <c r="S612" s="1279"/>
      <c r="T612" s="1279"/>
      <c r="U612" s="983"/>
      <c r="V612" s="1279">
        <v>21.791935483870972</v>
      </c>
      <c r="W612" s="1279"/>
      <c r="X612" s="1279"/>
      <c r="Y612" s="15"/>
      <c r="Z612" s="1280">
        <f t="shared" si="92"/>
        <v>21.915677913731304</v>
      </c>
      <c r="AA612" s="1280">
        <f t="shared" si="93"/>
        <v>9.1</v>
      </c>
      <c r="AB612" s="1280">
        <f t="shared" si="93"/>
        <v>9.1</v>
      </c>
      <c r="AC612" s="16"/>
      <c r="AD612" s="1292">
        <f t="shared" si="95"/>
        <v>0</v>
      </c>
      <c r="AE612" s="1292"/>
      <c r="AF612" s="1292"/>
      <c r="AG612" s="27"/>
      <c r="BQ612" s="201"/>
    </row>
    <row r="613" spans="5:124" ht="16" hidden="1" outlineLevel="1" x14ac:dyDescent="0.15">
      <c r="H613" s="380" t="str">
        <f t="shared" si="94"/>
        <v>La-Chaux-de-Fonds</v>
      </c>
      <c r="I613" s="15"/>
      <c r="J613" s="15"/>
      <c r="K613" s="15"/>
      <c r="L613" s="15"/>
      <c r="M613" s="15"/>
      <c r="N613" s="1279">
        <v>16.245333333333335</v>
      </c>
      <c r="O613" s="1279"/>
      <c r="P613" s="1279"/>
      <c r="Q613" s="983"/>
      <c r="R613" s="1279">
        <v>18.256774193548388</v>
      </c>
      <c r="S613" s="1279"/>
      <c r="T613" s="1279"/>
      <c r="U613" s="983"/>
      <c r="V613" s="1279">
        <v>17.132903225806452</v>
      </c>
      <c r="W613" s="1279"/>
      <c r="X613" s="1279"/>
      <c r="Y613" s="15"/>
      <c r="Z613" s="1280">
        <f t="shared" ref="Z613" si="96">AVERAGE(N613:X613)</f>
        <v>17.211670250896059</v>
      </c>
      <c r="AA613" s="1280">
        <f t="shared" si="93"/>
        <v>9.1</v>
      </c>
      <c r="AB613" s="1280">
        <f t="shared" si="93"/>
        <v>9.1</v>
      </c>
      <c r="AC613" s="16"/>
      <c r="AD613" s="1292">
        <f t="shared" ref="AD613" si="97">IF(H613=X$593,Z613,0)</f>
        <v>0</v>
      </c>
      <c r="AE613" s="1292"/>
      <c r="AF613" s="1292"/>
      <c r="AG613" s="27"/>
      <c r="BQ613" s="201"/>
    </row>
    <row r="614" spans="5:124" ht="16" hidden="1" outlineLevel="1" x14ac:dyDescent="0.15">
      <c r="H614" s="380" t="str">
        <f t="shared" si="94"/>
        <v>Lugano</v>
      </c>
      <c r="I614" s="15"/>
      <c r="J614" s="15"/>
      <c r="K614" s="15"/>
      <c r="L614" s="15"/>
      <c r="M614" s="15"/>
      <c r="N614" s="1279">
        <v>22.057333333333336</v>
      </c>
      <c r="O614" s="1279"/>
      <c r="P614" s="1279"/>
      <c r="Q614" s="983"/>
      <c r="R614" s="1279">
        <v>24.600967741935484</v>
      </c>
      <c r="S614" s="1279"/>
      <c r="T614" s="1279"/>
      <c r="U614" s="983"/>
      <c r="V614" s="1279">
        <v>23.465806451612902</v>
      </c>
      <c r="W614" s="1279"/>
      <c r="X614" s="1279"/>
      <c r="Y614" s="15"/>
      <c r="Z614" s="1280">
        <f t="shared" si="92"/>
        <v>23.374702508960578</v>
      </c>
      <c r="AA614" s="1280">
        <f t="shared" si="93"/>
        <v>9.1</v>
      </c>
      <c r="AB614" s="1280">
        <f t="shared" si="93"/>
        <v>9.1</v>
      </c>
      <c r="AC614" s="16"/>
      <c r="AD614" s="1292">
        <f t="shared" si="95"/>
        <v>0</v>
      </c>
      <c r="AE614" s="1292"/>
      <c r="AF614" s="1292"/>
      <c r="AG614" s="27"/>
      <c r="BQ614" s="201"/>
    </row>
    <row r="615" spans="5:124" ht="16" hidden="1" outlineLevel="1" x14ac:dyDescent="0.15">
      <c r="H615" s="380" t="str">
        <f t="shared" si="94"/>
        <v>San Gallo</v>
      </c>
      <c r="I615" s="15"/>
      <c r="J615" s="15"/>
      <c r="K615" s="15"/>
      <c r="L615" s="15"/>
      <c r="M615" s="15"/>
      <c r="N615" s="1279">
        <v>17.133333333333333</v>
      </c>
      <c r="O615" s="1279"/>
      <c r="P615" s="1279"/>
      <c r="Q615" s="983"/>
      <c r="R615" s="1279">
        <v>19.345806451612908</v>
      </c>
      <c r="S615" s="1279"/>
      <c r="T615" s="1279"/>
      <c r="U615" s="983"/>
      <c r="V615" s="1279">
        <v>18.054193548387097</v>
      </c>
      <c r="W615" s="1279"/>
      <c r="X615" s="1279"/>
      <c r="Y615" s="15"/>
      <c r="Z615" s="1280">
        <f t="shared" si="92"/>
        <v>18.177777777777781</v>
      </c>
      <c r="AA615" s="1280">
        <f t="shared" si="93"/>
        <v>9.1</v>
      </c>
      <c r="AB615" s="1280">
        <f t="shared" si="93"/>
        <v>9.1</v>
      </c>
      <c r="AC615" s="16"/>
      <c r="AD615" s="1292">
        <f t="shared" si="95"/>
        <v>0</v>
      </c>
      <c r="AE615" s="1292"/>
      <c r="AF615" s="1292"/>
      <c r="AG615" s="27"/>
      <c r="BQ615" s="201"/>
    </row>
    <row r="616" spans="5:124" ht="16" hidden="1" outlineLevel="1" x14ac:dyDescent="0.15">
      <c r="H616" s="380" t="str">
        <f t="shared" si="94"/>
        <v>Zurigo</v>
      </c>
      <c r="I616" s="15"/>
      <c r="J616" s="15"/>
      <c r="K616" s="15"/>
      <c r="L616" s="15"/>
      <c r="M616" s="15"/>
      <c r="N616" s="1279">
        <v>19.078666666666667</v>
      </c>
      <c r="O616" s="1279"/>
      <c r="P616" s="1279"/>
      <c r="Q616" s="983"/>
      <c r="R616" s="1279">
        <v>21.119032258064514</v>
      </c>
      <c r="S616" s="1279"/>
      <c r="T616" s="1279"/>
      <c r="U616" s="983"/>
      <c r="V616" s="1279">
        <v>19.77225806451613</v>
      </c>
      <c r="W616" s="1279"/>
      <c r="X616" s="1279"/>
      <c r="Y616" s="15"/>
      <c r="Z616" s="1280">
        <f t="shared" si="92"/>
        <v>19.98998566308244</v>
      </c>
      <c r="AA616" s="1280">
        <f t="shared" si="93"/>
        <v>9.1</v>
      </c>
      <c r="AB616" s="1280">
        <f t="shared" si="93"/>
        <v>9.1</v>
      </c>
      <c r="AC616" s="16"/>
      <c r="AD616" s="1292">
        <f t="shared" si="95"/>
        <v>0</v>
      </c>
      <c r="AE616" s="1292"/>
      <c r="AF616" s="1292"/>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Autunno</v>
      </c>
      <c r="I618" s="10"/>
      <c r="J618" s="10"/>
      <c r="K618" s="10"/>
      <c r="L618" s="10"/>
      <c r="M618" s="10"/>
      <c r="N618" s="1287" t="s">
        <v>149</v>
      </c>
      <c r="O618" s="1287"/>
      <c r="P618" s="1287"/>
      <c r="Q618" s="988"/>
      <c r="R618" s="1287" t="s">
        <v>150</v>
      </c>
      <c r="S618" s="1287"/>
      <c r="T618" s="1287"/>
      <c r="U618" s="988"/>
      <c r="V618" s="1287" t="s">
        <v>151</v>
      </c>
      <c r="W618" s="1287"/>
      <c r="X618" s="1287"/>
      <c r="Y618" s="26"/>
      <c r="Z618" s="1452" t="s">
        <v>155</v>
      </c>
      <c r="AA618" s="1452"/>
      <c r="AB618" s="1452"/>
      <c r="AC618" s="14"/>
      <c r="AD618" s="1490">
        <f>SUM(AD619:AF626)</f>
        <v>0</v>
      </c>
      <c r="AE618" s="1491"/>
      <c r="AF618" s="1491"/>
      <c r="BQ618" s="201"/>
    </row>
    <row r="619" spans="5:124" ht="16" hidden="1" outlineLevel="1" x14ac:dyDescent="0.15">
      <c r="H619" s="380" t="str">
        <f>H598</f>
        <v>Basilea</v>
      </c>
      <c r="I619" s="15"/>
      <c r="J619" s="15"/>
      <c r="K619" s="15"/>
      <c r="L619" s="15"/>
      <c r="M619" s="15"/>
      <c r="N619" s="1279">
        <v>17.377333333333333</v>
      </c>
      <c r="O619" s="1279"/>
      <c r="P619" s="1279"/>
      <c r="Q619" s="983"/>
      <c r="R619" s="1279">
        <v>12.674193548387098</v>
      </c>
      <c r="S619" s="1279"/>
      <c r="T619" s="1279"/>
      <c r="U619" s="983"/>
      <c r="V619" s="1279">
        <v>7.6366666666666649</v>
      </c>
      <c r="W619" s="1279"/>
      <c r="X619" s="1279"/>
      <c r="Y619" s="15"/>
      <c r="Z619" s="1280">
        <f t="shared" ref="Z619:Z626" si="98">AVERAGE(N619:X619)</f>
        <v>12.5627311827957</v>
      </c>
      <c r="AA619" s="1280">
        <f t="shared" ref="AA619:AB626" si="99">(4.8+9.5+13)/3</f>
        <v>9.1</v>
      </c>
      <c r="AB619" s="1280">
        <f t="shared" si="99"/>
        <v>9.1</v>
      </c>
      <c r="AC619" s="16"/>
      <c r="AD619" s="1292">
        <f t="shared" ref="AD619:AD626" si="100">IF(H619=X$593,Z619,0)</f>
        <v>0</v>
      </c>
      <c r="AE619" s="1292"/>
      <c r="AF619" s="1292"/>
      <c r="BQ619" s="201"/>
    </row>
    <row r="620" spans="5:124" ht="16" hidden="1" outlineLevel="1" x14ac:dyDescent="0.15">
      <c r="H620" s="380" t="str">
        <f t="shared" ref="H620:H626" si="101">H599</f>
        <v>Berna</v>
      </c>
      <c r="I620" s="15"/>
      <c r="J620" s="15"/>
      <c r="K620" s="15"/>
      <c r="L620" s="15"/>
      <c r="M620" s="15"/>
      <c r="N620" s="1279">
        <v>16.302666666666667</v>
      </c>
      <c r="O620" s="1279"/>
      <c r="P620" s="1279"/>
      <c r="Q620" s="983"/>
      <c r="R620" s="1279">
        <v>11.354193548387098</v>
      </c>
      <c r="S620" s="1279"/>
      <c r="T620" s="1279"/>
      <c r="U620" s="983"/>
      <c r="V620" s="1279">
        <v>5.9429999999999996</v>
      </c>
      <c r="W620" s="1279"/>
      <c r="X620" s="1279"/>
      <c r="Y620" s="15"/>
      <c r="Z620" s="1280">
        <f t="shared" si="98"/>
        <v>11.199953405017922</v>
      </c>
      <c r="AA620" s="1280">
        <f t="shared" si="99"/>
        <v>9.1</v>
      </c>
      <c r="AB620" s="1280">
        <f t="shared" si="99"/>
        <v>9.1</v>
      </c>
      <c r="AC620" s="16"/>
      <c r="AD620" s="1292">
        <f t="shared" si="100"/>
        <v>0</v>
      </c>
      <c r="AE620" s="1292"/>
      <c r="AF620" s="1292"/>
      <c r="BQ620" s="201"/>
    </row>
    <row r="621" spans="5:124" s="27" customFormat="1" ht="19" hidden="1" customHeight="1" outlineLevel="1" x14ac:dyDescent="0.15">
      <c r="E621" s="201"/>
      <c r="H621" s="380" t="str">
        <f t="shared" si="101"/>
        <v>Davos</v>
      </c>
      <c r="I621" s="15"/>
      <c r="J621" s="15"/>
      <c r="K621" s="15"/>
      <c r="L621" s="15"/>
      <c r="M621" s="15"/>
      <c r="N621" s="1279">
        <v>9.3000000000000007</v>
      </c>
      <c r="O621" s="1279"/>
      <c r="P621" s="1279"/>
      <c r="Q621" s="983"/>
      <c r="R621" s="1279">
        <v>5.2</v>
      </c>
      <c r="S621" s="1279"/>
      <c r="T621" s="1279"/>
      <c r="U621" s="983"/>
      <c r="V621" s="1279">
        <v>-0.6</v>
      </c>
      <c r="W621" s="1279"/>
      <c r="X621" s="1279"/>
      <c r="Y621" s="15"/>
      <c r="Z621" s="1280">
        <f t="shared" si="98"/>
        <v>4.6333333333333337</v>
      </c>
      <c r="AA621" s="1280">
        <f t="shared" si="99"/>
        <v>9.1</v>
      </c>
      <c r="AB621" s="1280">
        <f t="shared" si="99"/>
        <v>9.1</v>
      </c>
      <c r="AC621" s="16"/>
      <c r="AD621" s="1292">
        <f t="shared" si="100"/>
        <v>0</v>
      </c>
      <c r="AE621" s="1292"/>
      <c r="AF621" s="1292"/>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Ginevra</v>
      </c>
      <c r="I622" s="15"/>
      <c r="J622" s="15"/>
      <c r="K622" s="15"/>
      <c r="L622" s="15"/>
      <c r="M622" s="15"/>
      <c r="N622" s="1279">
        <v>17.806666666666665</v>
      </c>
      <c r="O622" s="1279"/>
      <c r="P622" s="1279"/>
      <c r="Q622" s="983"/>
      <c r="R622" s="1279">
        <v>13.015483870967742</v>
      </c>
      <c r="S622" s="1279"/>
      <c r="T622" s="1279"/>
      <c r="U622" s="983"/>
      <c r="V622" s="1279">
        <v>7.7520000000000007</v>
      </c>
      <c r="W622" s="1279"/>
      <c r="X622" s="1279"/>
      <c r="Y622" s="15"/>
      <c r="Z622" s="1280">
        <f t="shared" si="98"/>
        <v>12.858050179211469</v>
      </c>
      <c r="AA622" s="1280">
        <f t="shared" si="99"/>
        <v>9.1</v>
      </c>
      <c r="AB622" s="1280">
        <f t="shared" si="99"/>
        <v>9.1</v>
      </c>
      <c r="AC622" s="16"/>
      <c r="AD622" s="1292">
        <f t="shared" si="100"/>
        <v>0</v>
      </c>
      <c r="AE622" s="1292"/>
      <c r="AF622" s="1292"/>
      <c r="BQ622" s="201"/>
    </row>
    <row r="623" spans="5:124" ht="16" hidden="1" outlineLevel="1" x14ac:dyDescent="0.15">
      <c r="H623" s="380" t="str">
        <f t="shared" si="101"/>
        <v>La-Chaux-de-Fonds</v>
      </c>
      <c r="I623" s="15"/>
      <c r="J623" s="15"/>
      <c r="K623" s="15"/>
      <c r="L623" s="15"/>
      <c r="M623" s="15"/>
      <c r="N623" s="1279">
        <v>13.990666666666666</v>
      </c>
      <c r="O623" s="1279"/>
      <c r="P623" s="1279"/>
      <c r="Q623" s="983"/>
      <c r="R623" s="1279">
        <v>10.139677419354841</v>
      </c>
      <c r="S623" s="1279"/>
      <c r="T623" s="1279"/>
      <c r="U623" s="983"/>
      <c r="V623" s="1279">
        <v>5.2726666666666677</v>
      </c>
      <c r="W623" s="1279"/>
      <c r="X623" s="1279"/>
      <c r="Y623" s="15"/>
      <c r="Z623" s="1280">
        <f t="shared" ref="Z623" si="102">AVERAGE(N623:X623)</f>
        <v>9.8010035842293917</v>
      </c>
      <c r="AA623" s="1280">
        <f t="shared" si="99"/>
        <v>9.1</v>
      </c>
      <c r="AB623" s="1280">
        <f t="shared" si="99"/>
        <v>9.1</v>
      </c>
      <c r="AC623" s="16"/>
      <c r="AD623" s="1292">
        <f t="shared" ref="AD623" si="103">IF(H623=X$593,Z623,0)</f>
        <v>0</v>
      </c>
      <c r="AE623" s="1292"/>
      <c r="AF623" s="1292"/>
      <c r="BQ623" s="201"/>
    </row>
    <row r="624" spans="5:124" ht="16" hidden="1" outlineLevel="1" x14ac:dyDescent="0.15">
      <c r="H624" s="380" t="str">
        <f t="shared" si="101"/>
        <v>Lugano</v>
      </c>
      <c r="I624" s="15"/>
      <c r="J624" s="15"/>
      <c r="K624" s="15"/>
      <c r="L624" s="15"/>
      <c r="M624" s="15"/>
      <c r="N624" s="1279">
        <v>19.737666666666666</v>
      </c>
      <c r="O624" s="1279"/>
      <c r="P624" s="1279"/>
      <c r="Q624" s="983"/>
      <c r="R624" s="1279">
        <v>14.745161290322581</v>
      </c>
      <c r="S624" s="1279"/>
      <c r="T624" s="1279"/>
      <c r="U624" s="983"/>
      <c r="V624" s="1279">
        <v>9.6989999999999998</v>
      </c>
      <c r="W624" s="1279"/>
      <c r="X624" s="1279"/>
      <c r="Y624" s="15"/>
      <c r="Z624" s="1280">
        <f t="shared" si="98"/>
        <v>14.727275985663082</v>
      </c>
      <c r="AA624" s="1280">
        <f t="shared" si="99"/>
        <v>9.1</v>
      </c>
      <c r="AB624" s="1280">
        <f t="shared" si="99"/>
        <v>9.1</v>
      </c>
      <c r="AC624" s="16"/>
      <c r="AD624" s="1292">
        <f t="shared" si="100"/>
        <v>0</v>
      </c>
      <c r="AE624" s="1292"/>
      <c r="AF624" s="1292"/>
      <c r="BQ624" s="201"/>
    </row>
    <row r="625" spans="5:124" ht="16" hidden="1" outlineLevel="1" x14ac:dyDescent="0.15">
      <c r="H625" s="380" t="str">
        <f t="shared" si="101"/>
        <v>San Gallo</v>
      </c>
      <c r="I625" s="15"/>
      <c r="J625" s="15"/>
      <c r="K625" s="15"/>
      <c r="L625" s="15"/>
      <c r="M625" s="15"/>
      <c r="N625" s="1279">
        <v>14.250333333333336</v>
      </c>
      <c r="O625" s="1279"/>
      <c r="P625" s="1279"/>
      <c r="Q625" s="983"/>
      <c r="R625" s="1279">
        <v>10.140420757363255</v>
      </c>
      <c r="S625" s="1279"/>
      <c r="T625" s="1279"/>
      <c r="U625" s="983"/>
      <c r="V625" s="1279">
        <v>5.4262142857142859</v>
      </c>
      <c r="W625" s="1279"/>
      <c r="X625" s="1279"/>
      <c r="Y625" s="15"/>
      <c r="Z625" s="1280">
        <f t="shared" si="98"/>
        <v>9.9389894588036256</v>
      </c>
      <c r="AA625" s="1280">
        <f t="shared" si="99"/>
        <v>9.1</v>
      </c>
      <c r="AB625" s="1280">
        <f t="shared" si="99"/>
        <v>9.1</v>
      </c>
      <c r="AC625" s="16"/>
      <c r="AD625" s="1292">
        <f t="shared" si="100"/>
        <v>0</v>
      </c>
      <c r="AE625" s="1292"/>
      <c r="AF625" s="1292"/>
      <c r="BQ625" s="201"/>
    </row>
    <row r="626" spans="5:124" ht="16" hidden="1" outlineLevel="1" x14ac:dyDescent="0.15">
      <c r="H626" s="380" t="str">
        <f t="shared" si="101"/>
        <v>Zurigo</v>
      </c>
      <c r="I626" s="15"/>
      <c r="J626" s="15"/>
      <c r="K626" s="15"/>
      <c r="L626" s="15"/>
      <c r="M626" s="15"/>
      <c r="N626" s="1279">
        <v>16.004666666666665</v>
      </c>
      <c r="O626" s="1279"/>
      <c r="P626" s="1279"/>
      <c r="Q626" s="983"/>
      <c r="R626" s="1279">
        <v>11.286129032258064</v>
      </c>
      <c r="S626" s="1279"/>
      <c r="T626" s="1279"/>
      <c r="U626" s="983"/>
      <c r="V626" s="1279">
        <v>6.2376666666666658</v>
      </c>
      <c r="W626" s="1279"/>
      <c r="X626" s="1279"/>
      <c r="Y626" s="15"/>
      <c r="Z626" s="1280">
        <f t="shared" si="98"/>
        <v>11.176154121863798</v>
      </c>
      <c r="AA626" s="1280">
        <f t="shared" si="99"/>
        <v>9.1</v>
      </c>
      <c r="AB626" s="1280">
        <f t="shared" si="99"/>
        <v>9.1</v>
      </c>
      <c r="AC626" s="16"/>
      <c r="AD626" s="1292">
        <f t="shared" si="100"/>
        <v>0</v>
      </c>
      <c r="AE626" s="1292"/>
      <c r="AF626" s="1292"/>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Inverno</v>
      </c>
      <c r="I628" s="10"/>
      <c r="J628" s="10"/>
      <c r="K628" s="10"/>
      <c r="L628" s="10"/>
      <c r="M628" s="10"/>
      <c r="N628" s="1287" t="s">
        <v>152</v>
      </c>
      <c r="O628" s="1287"/>
      <c r="P628" s="1287"/>
      <c r="Q628" s="988"/>
      <c r="R628" s="1287" t="s">
        <v>153</v>
      </c>
      <c r="S628" s="1287"/>
      <c r="T628" s="1287"/>
      <c r="U628" s="988"/>
      <c r="V628" s="1287" t="s">
        <v>154</v>
      </c>
      <c r="W628" s="1287"/>
      <c r="X628" s="1287"/>
      <c r="Y628" s="26"/>
      <c r="Z628" s="1452" t="s">
        <v>155</v>
      </c>
      <c r="AA628" s="1452"/>
      <c r="AB628" s="1452"/>
      <c r="AC628" s="14"/>
      <c r="AD628" s="1490">
        <f>SUM(AD629:AF636)</f>
        <v>0</v>
      </c>
      <c r="AE628" s="1491"/>
      <c r="AF628" s="1491"/>
      <c r="BQ628" s="201"/>
    </row>
    <row r="629" spans="5:124" ht="16" hidden="1" outlineLevel="1" x14ac:dyDescent="0.15">
      <c r="H629" s="380" t="str">
        <f>H598</f>
        <v>Basilea</v>
      </c>
      <c r="I629" s="15"/>
      <c r="J629" s="15"/>
      <c r="K629" s="15"/>
      <c r="L629" s="15"/>
      <c r="M629" s="15"/>
      <c r="N629" s="1279">
        <v>3.6141935483870959</v>
      </c>
      <c r="O629" s="1279"/>
      <c r="P629" s="1279"/>
      <c r="Q629" s="983"/>
      <c r="R629" s="1279">
        <v>2.770322580645161</v>
      </c>
      <c r="S629" s="1279"/>
      <c r="T629" s="1279"/>
      <c r="U629" s="983"/>
      <c r="V629" s="1279">
        <v>3.4915640394088667</v>
      </c>
      <c r="W629" s="1279"/>
      <c r="X629" s="1279"/>
      <c r="Y629" s="15"/>
      <c r="Z629" s="1280">
        <f t="shared" ref="Z629:Z636" si="104">AVERAGE(N629:X629)</f>
        <v>3.2920267228137079</v>
      </c>
      <c r="AA629" s="1280">
        <f t="shared" ref="AA629:AB636" si="105">(4.8+9.5+13)/3</f>
        <v>9.1</v>
      </c>
      <c r="AB629" s="1280">
        <f t="shared" si="105"/>
        <v>9.1</v>
      </c>
      <c r="AC629" s="16"/>
      <c r="AD629" s="1292">
        <f t="shared" ref="AD629:AD636" si="106">IF(H629=X$593,Z629,0)</f>
        <v>0</v>
      </c>
      <c r="AE629" s="1292"/>
      <c r="AF629" s="1292"/>
      <c r="BQ629" s="201"/>
    </row>
    <row r="630" spans="5:124" ht="16" hidden="1" outlineLevel="1" x14ac:dyDescent="0.15">
      <c r="H630" s="380" t="str">
        <f t="shared" ref="H630:H636" si="107">H599</f>
        <v>Berna</v>
      </c>
      <c r="I630" s="15"/>
      <c r="J630" s="15"/>
      <c r="K630" s="15"/>
      <c r="L630" s="15"/>
      <c r="M630" s="15"/>
      <c r="N630" s="1279">
        <v>1.5970967741935485</v>
      </c>
      <c r="O630" s="1279"/>
      <c r="P630" s="1279"/>
      <c r="Q630" s="983"/>
      <c r="R630" s="1279">
        <v>1.0629032258064512</v>
      </c>
      <c r="S630" s="1279"/>
      <c r="T630" s="1279"/>
      <c r="U630" s="983"/>
      <c r="V630" s="1279">
        <v>1.662992610837438</v>
      </c>
      <c r="W630" s="1279"/>
      <c r="X630" s="1279"/>
      <c r="Y630" s="15"/>
      <c r="Z630" s="1280">
        <f t="shared" si="104"/>
        <v>1.4409975369458126</v>
      </c>
      <c r="AA630" s="1280">
        <f t="shared" si="105"/>
        <v>9.1</v>
      </c>
      <c r="AB630" s="1280">
        <f t="shared" si="105"/>
        <v>9.1</v>
      </c>
      <c r="AC630" s="16"/>
      <c r="AD630" s="1292">
        <f t="shared" si="106"/>
        <v>0</v>
      </c>
      <c r="AE630" s="1292"/>
      <c r="AF630" s="1292"/>
      <c r="BQ630" s="201"/>
    </row>
    <row r="631" spans="5:124" s="27" customFormat="1" ht="19" hidden="1" customHeight="1" outlineLevel="1" x14ac:dyDescent="0.15">
      <c r="E631" s="201"/>
      <c r="H631" s="380" t="str">
        <f t="shared" si="107"/>
        <v>Davos</v>
      </c>
      <c r="I631" s="15"/>
      <c r="J631" s="15"/>
      <c r="K631" s="15"/>
      <c r="L631" s="15"/>
      <c r="M631" s="15"/>
      <c r="N631" s="1279">
        <v>-6</v>
      </c>
      <c r="O631" s="1279"/>
      <c r="P631" s="1279"/>
      <c r="Q631" s="983"/>
      <c r="R631" s="1279">
        <v>-6.2</v>
      </c>
      <c r="S631" s="1279"/>
      <c r="T631" s="1279"/>
      <c r="U631" s="983"/>
      <c r="V631" s="1279">
        <v>-5.4</v>
      </c>
      <c r="W631" s="1279"/>
      <c r="X631" s="1279"/>
      <c r="Y631" s="15"/>
      <c r="Z631" s="1280">
        <f t="shared" si="104"/>
        <v>-5.8666666666666671</v>
      </c>
      <c r="AA631" s="1280">
        <f t="shared" si="105"/>
        <v>9.1</v>
      </c>
      <c r="AB631" s="1280">
        <f t="shared" si="105"/>
        <v>9.1</v>
      </c>
      <c r="AC631" s="16"/>
      <c r="AD631" s="1292">
        <f t="shared" si="106"/>
        <v>0</v>
      </c>
      <c r="AE631" s="1292"/>
      <c r="AF631" s="1292"/>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Ginevra</v>
      </c>
      <c r="I632" s="15"/>
      <c r="J632" s="15"/>
      <c r="K632" s="15"/>
      <c r="L632" s="15"/>
      <c r="M632" s="15"/>
      <c r="N632" s="1279">
        <v>3.4409677419354834</v>
      </c>
      <c r="O632" s="1279"/>
      <c r="P632" s="1279"/>
      <c r="Q632" s="983"/>
      <c r="R632" s="1279">
        <v>2.9022580645161296</v>
      </c>
      <c r="S632" s="1279"/>
      <c r="T632" s="1279"/>
      <c r="U632" s="983"/>
      <c r="V632" s="1279">
        <v>3.4457389162561567</v>
      </c>
      <c r="W632" s="1279"/>
      <c r="X632" s="1279"/>
      <c r="Y632" s="15"/>
      <c r="Z632" s="1280">
        <f t="shared" si="104"/>
        <v>3.2629882409025903</v>
      </c>
      <c r="AA632" s="1280">
        <f t="shared" si="105"/>
        <v>9.1</v>
      </c>
      <c r="AB632" s="1280">
        <f t="shared" si="105"/>
        <v>9.1</v>
      </c>
      <c r="AC632" s="16"/>
      <c r="AD632" s="1292">
        <f t="shared" si="106"/>
        <v>0</v>
      </c>
      <c r="AE632" s="1292"/>
      <c r="AF632" s="1292"/>
      <c r="BQ632" s="201"/>
    </row>
    <row r="633" spans="5:124" ht="16" hidden="1" outlineLevel="1" x14ac:dyDescent="0.15">
      <c r="H633" s="380" t="str">
        <f t="shared" si="107"/>
        <v>La-Chaux-de-Fonds</v>
      </c>
      <c r="I633" s="15"/>
      <c r="J633" s="15"/>
      <c r="K633" s="15"/>
      <c r="L633" s="15"/>
      <c r="M633" s="15"/>
      <c r="N633" s="1279">
        <v>0.7338709677419355</v>
      </c>
      <c r="O633" s="1279"/>
      <c r="P633" s="1279"/>
      <c r="Q633" s="983"/>
      <c r="R633" s="1279">
        <v>-0.36354838709677451</v>
      </c>
      <c r="S633" s="1279"/>
      <c r="T633" s="1279"/>
      <c r="U633" s="983"/>
      <c r="V633" s="1279">
        <v>6.6551724137930895E-2</v>
      </c>
      <c r="W633" s="1279"/>
      <c r="X633" s="1279"/>
      <c r="Y633" s="15"/>
      <c r="Z633" s="1280">
        <f>AVERAGE(N633:X633)</f>
        <v>0.14562476826103063</v>
      </c>
      <c r="AA633" s="1280">
        <f t="shared" si="105"/>
        <v>9.1</v>
      </c>
      <c r="AB633" s="1280">
        <f t="shared" si="105"/>
        <v>9.1</v>
      </c>
      <c r="AC633" s="16"/>
      <c r="AD633" s="1292">
        <f t="shared" ref="AD633" si="108">IF(H633=X$593,Z633,0)</f>
        <v>0</v>
      </c>
      <c r="AE633" s="1292"/>
      <c r="AF633" s="1292"/>
      <c r="BQ633" s="201"/>
    </row>
    <row r="634" spans="5:124" ht="16" hidden="1" outlineLevel="1" x14ac:dyDescent="0.15">
      <c r="H634" s="380" t="str">
        <f t="shared" si="107"/>
        <v>Lugano</v>
      </c>
      <c r="I634" s="15"/>
      <c r="J634" s="15"/>
      <c r="K634" s="15"/>
      <c r="L634" s="15"/>
      <c r="M634" s="15"/>
      <c r="N634" s="1279">
        <v>5.60516129032258</v>
      </c>
      <c r="O634" s="1279"/>
      <c r="P634" s="1279"/>
      <c r="Q634" s="983"/>
      <c r="R634" s="1279">
        <v>4.7138709677419355</v>
      </c>
      <c r="S634" s="1279"/>
      <c r="T634" s="1279"/>
      <c r="U634" s="983"/>
      <c r="V634" s="1279">
        <v>5.580492610837438</v>
      </c>
      <c r="W634" s="1279"/>
      <c r="X634" s="1279"/>
      <c r="Y634" s="15"/>
      <c r="Z634" s="1280">
        <f t="shared" si="104"/>
        <v>5.2998416229673175</v>
      </c>
      <c r="AA634" s="1280">
        <f t="shared" si="105"/>
        <v>9.1</v>
      </c>
      <c r="AB634" s="1280">
        <f t="shared" si="105"/>
        <v>9.1</v>
      </c>
      <c r="AC634" s="16"/>
      <c r="AD634" s="1292">
        <f t="shared" si="106"/>
        <v>0</v>
      </c>
      <c r="AE634" s="1292"/>
      <c r="AF634" s="1292"/>
      <c r="BQ634" s="201"/>
    </row>
    <row r="635" spans="5:124" ht="16" hidden="1" outlineLevel="1" x14ac:dyDescent="0.15">
      <c r="H635" s="380" t="str">
        <f t="shared" si="107"/>
        <v>San Gallo</v>
      </c>
      <c r="I635" s="15"/>
      <c r="J635" s="15"/>
      <c r="K635" s="15"/>
      <c r="L635" s="15"/>
      <c r="M635" s="15"/>
      <c r="N635" s="1279">
        <v>1.8374193548387097</v>
      </c>
      <c r="O635" s="1279"/>
      <c r="P635" s="1279"/>
      <c r="Q635" s="983"/>
      <c r="R635" s="1279">
        <v>0.37225806451612903</v>
      </c>
      <c r="S635" s="1279"/>
      <c r="T635" s="1279"/>
      <c r="U635" s="983"/>
      <c r="V635" s="1279">
        <v>0.58261083743842368</v>
      </c>
      <c r="W635" s="1279"/>
      <c r="X635" s="1279"/>
      <c r="Y635" s="15"/>
      <c r="Z635" s="1280">
        <f t="shared" si="104"/>
        <v>0.93076275226442073</v>
      </c>
      <c r="AA635" s="1280">
        <f t="shared" si="105"/>
        <v>9.1</v>
      </c>
      <c r="AB635" s="1280">
        <f t="shared" si="105"/>
        <v>9.1</v>
      </c>
      <c r="AC635" s="16"/>
      <c r="AD635" s="1292">
        <f t="shared" si="106"/>
        <v>0</v>
      </c>
      <c r="AE635" s="1292"/>
      <c r="AF635" s="1292"/>
      <c r="BQ635" s="201"/>
    </row>
    <row r="636" spans="5:124" ht="16" hidden="1" outlineLevel="1" x14ac:dyDescent="0.15">
      <c r="H636" s="380" t="str">
        <f t="shared" si="107"/>
        <v>Zurigo</v>
      </c>
      <c r="I636" s="15"/>
      <c r="J636" s="15"/>
      <c r="K636" s="15"/>
      <c r="L636" s="15"/>
      <c r="M636" s="15"/>
      <c r="N636" s="1279">
        <v>2.2954838709677423</v>
      </c>
      <c r="O636" s="1279"/>
      <c r="P636" s="1279"/>
      <c r="Q636" s="983"/>
      <c r="R636" s="1279">
        <v>1.4409677419354838</v>
      </c>
      <c r="S636" s="1279"/>
      <c r="T636" s="1279"/>
      <c r="U636" s="983"/>
      <c r="V636" s="1279">
        <v>1.9078571428571434</v>
      </c>
      <c r="W636" s="1279"/>
      <c r="X636" s="1279"/>
      <c r="Y636" s="15"/>
      <c r="Z636" s="1280">
        <f t="shared" si="104"/>
        <v>1.8814362519201231</v>
      </c>
      <c r="AA636" s="1280">
        <f t="shared" si="105"/>
        <v>9.1</v>
      </c>
      <c r="AB636" s="1280">
        <f t="shared" si="105"/>
        <v>9.1</v>
      </c>
      <c r="AC636" s="16"/>
      <c r="AD636" s="1292">
        <f t="shared" si="106"/>
        <v>0</v>
      </c>
      <c r="AE636" s="1292"/>
      <c r="AF636" s="1292"/>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453" t="s">
        <v>94</v>
      </c>
      <c r="Y641" s="1453"/>
      <c r="Z641" s="1453"/>
      <c r="AB641" s="1453" t="s">
        <v>97</v>
      </c>
      <c r="AC641" s="1453"/>
      <c r="AD641" s="1453"/>
      <c r="AF641" s="1453" t="s">
        <v>98</v>
      </c>
      <c r="AG641" s="1453"/>
      <c r="AH641" s="1453"/>
      <c r="AJ641" s="1453" t="s">
        <v>99</v>
      </c>
      <c r="AK641" s="1453"/>
      <c r="AL641" s="1453"/>
      <c r="AN641" s="1453" t="s">
        <v>101</v>
      </c>
      <c r="AO641" s="1453"/>
      <c r="AP641" s="1453"/>
      <c r="AQ641" s="200"/>
      <c r="AR641" s="200"/>
      <c r="BQ641" s="201"/>
    </row>
    <row r="642" spans="5:124" hidden="1" outlineLevel="1" x14ac:dyDescent="0.15">
      <c r="H642" s="406" t="str">
        <f>X!$C$273</f>
        <v>A: Refrigeratore-climatizzatore (2'000 h/a)</v>
      </c>
      <c r="I642" s="19"/>
      <c r="J642" s="19"/>
      <c r="K642" s="19"/>
      <c r="L642" s="19"/>
      <c r="M642" s="19"/>
      <c r="N642" s="19"/>
      <c r="O642" s="19"/>
      <c r="P642" s="19"/>
      <c r="Q642" s="19"/>
      <c r="R642" s="19"/>
      <c r="S642" s="19"/>
      <c r="T642" s="19"/>
      <c r="U642" s="20"/>
      <c r="V642" s="20" t="s">
        <v>28</v>
      </c>
      <c r="W642" s="5"/>
      <c r="X642" s="1453">
        <v>0.06</v>
      </c>
      <c r="Y642" s="1453"/>
      <c r="Z642" s="1453"/>
      <c r="AB642" s="1453">
        <v>0.66320000000000001</v>
      </c>
      <c r="AC642" s="1453"/>
      <c r="AD642" s="1453"/>
      <c r="AF642" s="1453">
        <v>0.19</v>
      </c>
      <c r="AG642" s="1453"/>
      <c r="AH642" s="1453"/>
      <c r="AJ642" s="1453">
        <v>0</v>
      </c>
      <c r="AK642" s="1453"/>
      <c r="AL642" s="1453"/>
      <c r="AN642" s="1453"/>
      <c r="AO642" s="1453"/>
      <c r="AP642" s="1453"/>
      <c r="AQ642" s="200"/>
      <c r="AR642" s="200"/>
      <c r="AV642" t="s">
        <v>199</v>
      </c>
      <c r="BQ642" s="201"/>
    </row>
    <row r="643" spans="5:124" hidden="1" outlineLevel="1" x14ac:dyDescent="0.15">
      <c r="H643" s="406" t="str">
        <f>X!$C$20</f>
        <v>B: Impianto con 3'500 ore di funz. a pieno regime all'anno</v>
      </c>
      <c r="I643" s="19"/>
      <c r="J643" s="19"/>
      <c r="K643" s="19"/>
      <c r="L643" s="19"/>
      <c r="M643" s="19"/>
      <c r="N643" s="19"/>
      <c r="O643" s="19"/>
      <c r="P643" s="19"/>
      <c r="Q643" s="19"/>
      <c r="R643" s="19"/>
      <c r="S643" s="19"/>
      <c r="T643" s="19"/>
      <c r="U643" s="20"/>
      <c r="V643" s="20" t="s">
        <v>28</v>
      </c>
      <c r="W643" s="5"/>
      <c r="X643" s="1453">
        <v>0.28000000000000003</v>
      </c>
      <c r="Y643" s="1453"/>
      <c r="Z643" s="1453"/>
      <c r="AB643" s="1453">
        <v>0.7</v>
      </c>
      <c r="AC643" s="1453"/>
      <c r="AD643" s="1453"/>
      <c r="AF643" s="1453">
        <v>0.38</v>
      </c>
      <c r="AG643" s="1453"/>
      <c r="AH643" s="1453"/>
      <c r="AJ643" s="1453">
        <v>0.23799999999999999</v>
      </c>
      <c r="AK643" s="1453"/>
      <c r="AL643" s="1453"/>
      <c r="AN643" s="1453"/>
      <c r="AO643" s="1453"/>
      <c r="AP643" s="1453"/>
      <c r="AQ643" s="200"/>
      <c r="AR643" s="200"/>
      <c r="BQ643" s="201"/>
    </row>
    <row r="644" spans="5:124" hidden="1" outlineLevel="1" x14ac:dyDescent="0.15">
      <c r="H644" s="406" t="str">
        <f>X!$C$37</f>
        <v>C: Impianto con 5'000 ore di funz. a pieno regime all'anno</v>
      </c>
      <c r="I644" s="19"/>
      <c r="J644" s="19"/>
      <c r="K644" s="19"/>
      <c r="L644" s="19"/>
      <c r="M644" s="19"/>
      <c r="N644" s="19"/>
      <c r="O644" s="19"/>
      <c r="P644" s="19"/>
      <c r="Q644" s="19"/>
      <c r="R644" s="19"/>
      <c r="S644" s="19"/>
      <c r="T644" s="19"/>
      <c r="U644" s="20"/>
      <c r="V644" s="20" t="s">
        <v>28</v>
      </c>
      <c r="W644" s="5"/>
      <c r="X644" s="1453">
        <v>0.503</v>
      </c>
      <c r="Y644" s="1453"/>
      <c r="Z644" s="1453"/>
      <c r="AB644" s="1453">
        <v>0.74</v>
      </c>
      <c r="AC644" s="1453"/>
      <c r="AD644" s="1453"/>
      <c r="AF644" s="1453">
        <v>0.56000000000000005</v>
      </c>
      <c r="AG644" s="1453"/>
      <c r="AH644" s="1453"/>
      <c r="AJ644" s="1453">
        <v>0.48</v>
      </c>
      <c r="AK644" s="1453"/>
      <c r="AL644" s="1453"/>
      <c r="AN644" s="1453"/>
      <c r="AO644" s="1453"/>
      <c r="AP644" s="1453"/>
      <c r="AQ644" s="200"/>
      <c r="AR644" s="200"/>
      <c r="BQ644" s="201"/>
    </row>
    <row r="645" spans="5:124" hidden="1" outlineLevel="1" x14ac:dyDescent="0.15">
      <c r="H645" s="406" t="str">
        <f>X!$C$64</f>
        <v>D: Impianto con 7'500 ore di funz. a pieno regime all'anno</v>
      </c>
      <c r="I645" s="19"/>
      <c r="J645" s="19"/>
      <c r="K645" s="19"/>
      <c r="L645" s="19"/>
      <c r="M645" s="19"/>
      <c r="N645" s="19"/>
      <c r="O645" s="19"/>
      <c r="P645" s="19"/>
      <c r="Q645" s="19"/>
      <c r="R645" s="19"/>
      <c r="S645" s="19"/>
      <c r="T645" s="19"/>
      <c r="U645" s="20"/>
      <c r="V645" s="20" t="s">
        <v>28</v>
      </c>
      <c r="W645" s="5"/>
      <c r="X645" s="1453">
        <v>0.83895188476861782</v>
      </c>
      <c r="Y645" s="1453"/>
      <c r="Z645" s="1453"/>
      <c r="AB645" s="1453">
        <v>0.90790683420165497</v>
      </c>
      <c r="AC645" s="1453"/>
      <c r="AD645" s="1453"/>
      <c r="AF645" s="1453">
        <v>0.85044437634079073</v>
      </c>
      <c r="AG645" s="1453"/>
      <c r="AH645" s="1453"/>
      <c r="AJ645" s="1453">
        <v>0.82745939319644501</v>
      </c>
      <c r="AK645" s="1453"/>
      <c r="AL645" s="1453"/>
      <c r="AN645" s="1453"/>
      <c r="AO645" s="1453"/>
      <c r="AP645" s="1453"/>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454">
        <v>2190</v>
      </c>
      <c r="Y647" s="1454"/>
      <c r="Z647" s="1454"/>
      <c r="AB647" s="1454">
        <v>2190</v>
      </c>
      <c r="AC647" s="1454"/>
      <c r="AD647" s="1454"/>
      <c r="AF647" s="1454">
        <v>2190</v>
      </c>
      <c r="AG647" s="1454"/>
      <c r="AH647" s="1454"/>
      <c r="AJ647" s="1454">
        <v>2190</v>
      </c>
      <c r="AK647" s="1454"/>
      <c r="AL647" s="1454"/>
      <c r="AN647" s="1454">
        <f>SUM(X647:AL647)</f>
        <v>8760</v>
      </c>
      <c r="AO647" s="1454"/>
      <c r="AP647" s="1454"/>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Refrigeratore-climatizzatore (2'000 h/a)</v>
      </c>
      <c r="I649" s="21"/>
      <c r="J649" s="21"/>
      <c r="K649" s="21"/>
      <c r="L649" s="21"/>
      <c r="M649" s="21"/>
      <c r="N649" s="21"/>
      <c r="O649" s="21"/>
      <c r="P649" s="21"/>
      <c r="Q649" s="21"/>
      <c r="R649" s="21"/>
      <c r="S649" s="21"/>
      <c r="T649" s="21"/>
      <c r="U649" s="22"/>
      <c r="V649" s="22" t="s">
        <v>123</v>
      </c>
      <c r="W649" s="5"/>
      <c r="X649" s="1286">
        <f>X642*X$647</f>
        <v>131.4</v>
      </c>
      <c r="Y649" s="1286"/>
      <c r="Z649" s="1286"/>
      <c r="AB649" s="1286">
        <f>AB642*AB$647</f>
        <v>1452.4080000000001</v>
      </c>
      <c r="AC649" s="1286"/>
      <c r="AD649" s="1286"/>
      <c r="AF649" s="1286">
        <f>AF642*AF$647</f>
        <v>416.1</v>
      </c>
      <c r="AG649" s="1286"/>
      <c r="AH649" s="1286"/>
      <c r="AJ649" s="1286">
        <f>AJ642*AJ$647</f>
        <v>0</v>
      </c>
      <c r="AK649" s="1286"/>
      <c r="AL649" s="1286"/>
      <c r="AN649" s="1454">
        <f>SUM(X649:AL649)</f>
        <v>1999.9080000000004</v>
      </c>
      <c r="AO649" s="1454"/>
      <c r="AP649" s="1454"/>
      <c r="AQ649" s="204"/>
      <c r="AR649" s="204"/>
      <c r="AV649" t="s">
        <v>199</v>
      </c>
      <c r="BQ649" s="201"/>
    </row>
    <row r="650" spans="5:124" hidden="1" outlineLevel="1" x14ac:dyDescent="0.15">
      <c r="H650" s="22" t="str">
        <f>H643</f>
        <v>B: Impianto con 3'500 ore di funz. a pieno regime all'anno</v>
      </c>
      <c r="I650" s="21"/>
      <c r="J650" s="21"/>
      <c r="K650" s="21"/>
      <c r="L650" s="21"/>
      <c r="M650" s="21"/>
      <c r="N650" s="21"/>
      <c r="O650" s="21"/>
      <c r="P650" s="21"/>
      <c r="Q650" s="21"/>
      <c r="R650" s="21"/>
      <c r="S650" s="21"/>
      <c r="T650" s="21"/>
      <c r="U650" s="22"/>
      <c r="V650" s="22" t="s">
        <v>123</v>
      </c>
      <c r="W650" s="5"/>
      <c r="X650" s="1286">
        <f>X643*X$647</f>
        <v>613.20000000000005</v>
      </c>
      <c r="Y650" s="1286"/>
      <c r="Z650" s="1286"/>
      <c r="AB650" s="1286">
        <f>AB643*AB$647</f>
        <v>1533</v>
      </c>
      <c r="AC650" s="1286"/>
      <c r="AD650" s="1286"/>
      <c r="AF650" s="1286">
        <f>AF643*AF$647</f>
        <v>832.2</v>
      </c>
      <c r="AG650" s="1286"/>
      <c r="AH650" s="1286"/>
      <c r="AJ650" s="1286">
        <f>AJ643*AJ$647</f>
        <v>521.22</v>
      </c>
      <c r="AK650" s="1286"/>
      <c r="AL650" s="1286"/>
      <c r="AN650" s="1454">
        <f>SUM(X650:AL650)</f>
        <v>3499.62</v>
      </c>
      <c r="AO650" s="1454"/>
      <c r="AP650" s="1454"/>
      <c r="AQ650" s="204"/>
      <c r="AR650" s="204"/>
      <c r="BQ650" s="201"/>
    </row>
    <row r="651" spans="5:124" hidden="1" outlineLevel="1" x14ac:dyDescent="0.15">
      <c r="H651" s="22" t="str">
        <f>H644</f>
        <v>C: Impianto con 5'000 ore di funz. a pieno regime all'anno</v>
      </c>
      <c r="I651" s="21"/>
      <c r="J651" s="21"/>
      <c r="K651" s="21"/>
      <c r="L651" s="21"/>
      <c r="M651" s="21"/>
      <c r="N651" s="21"/>
      <c r="O651" s="21"/>
      <c r="P651" s="21"/>
      <c r="Q651" s="21"/>
      <c r="R651" s="21"/>
      <c r="S651" s="21"/>
      <c r="T651" s="21"/>
      <c r="U651" s="22"/>
      <c r="V651" s="22" t="s">
        <v>123</v>
      </c>
      <c r="W651" s="5"/>
      <c r="X651" s="1286">
        <f>X644*X$647</f>
        <v>1101.57</v>
      </c>
      <c r="Y651" s="1286"/>
      <c r="Z651" s="1286"/>
      <c r="AB651" s="1286">
        <f>AB644*AB$647</f>
        <v>1620.6</v>
      </c>
      <c r="AC651" s="1286"/>
      <c r="AD651" s="1286"/>
      <c r="AF651" s="1286">
        <f>AF644*AF$647</f>
        <v>1226.4000000000001</v>
      </c>
      <c r="AG651" s="1286"/>
      <c r="AH651" s="1286"/>
      <c r="AJ651" s="1286">
        <f>AJ644*AJ$647</f>
        <v>1051.2</v>
      </c>
      <c r="AK651" s="1286"/>
      <c r="AL651" s="1286"/>
      <c r="AN651" s="1454">
        <f>SUM(X651:AL651)</f>
        <v>4999.7700000000004</v>
      </c>
      <c r="AO651" s="1454"/>
      <c r="AP651" s="1454"/>
      <c r="AQ651" s="204"/>
      <c r="AR651" s="204"/>
      <c r="BQ651" s="201"/>
    </row>
    <row r="652" spans="5:124" hidden="1" outlineLevel="1" x14ac:dyDescent="0.15">
      <c r="H652" s="22" t="str">
        <f>H645</f>
        <v>D: Impianto con 7'500 ore di funz. a pieno regime all'anno</v>
      </c>
      <c r="I652" s="21"/>
      <c r="J652" s="21"/>
      <c r="K652" s="21"/>
      <c r="L652" s="21"/>
      <c r="M652" s="21"/>
      <c r="N652" s="21"/>
      <c r="O652" s="21"/>
      <c r="P652" s="21"/>
      <c r="Q652" s="21"/>
      <c r="R652" s="21"/>
      <c r="S652" s="21"/>
      <c r="T652" s="21"/>
      <c r="U652" s="22"/>
      <c r="V652" s="22" t="s">
        <v>123</v>
      </c>
      <c r="W652" s="5"/>
      <c r="X652" s="1286">
        <f>X645*X$647</f>
        <v>1837.3046276432731</v>
      </c>
      <c r="Y652" s="1286"/>
      <c r="Z652" s="1286"/>
      <c r="AB652" s="1286">
        <f>AB645*AB$647</f>
        <v>1988.3159669016243</v>
      </c>
      <c r="AC652" s="1286"/>
      <c r="AD652" s="1286"/>
      <c r="AF652" s="1286">
        <f>AF645*AF$647</f>
        <v>1862.4731841863318</v>
      </c>
      <c r="AG652" s="1286"/>
      <c r="AH652" s="1286"/>
      <c r="AJ652" s="1286">
        <f>AJ645*AJ$647</f>
        <v>1812.1360711002146</v>
      </c>
      <c r="AK652" s="1286"/>
      <c r="AL652" s="1286"/>
      <c r="AN652" s="1454">
        <f>SUM(X652:AL652)</f>
        <v>7500.2298498314431</v>
      </c>
      <c r="AO652" s="1454"/>
      <c r="AP652" s="1454"/>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51">
        <f>X44</f>
        <v>0</v>
      </c>
      <c r="I655" s="1451"/>
      <c r="J655" s="1451"/>
      <c r="K655" s="1451"/>
      <c r="L655" s="1451"/>
      <c r="M655" s="1451"/>
      <c r="N655" s="1451"/>
      <c r="O655" s="1451"/>
      <c r="P655" s="1451"/>
      <c r="Q655" s="1451"/>
      <c r="R655" s="1451"/>
      <c r="S655" s="1451"/>
      <c r="T655" s="1451"/>
      <c r="U655" s="1451"/>
      <c r="V655" s="1451"/>
      <c r="W655" s="24"/>
      <c r="X655" s="1294" t="s">
        <v>94</v>
      </c>
      <c r="Y655" s="1294"/>
      <c r="Z655" s="1294"/>
      <c r="AB655" s="1294" t="s">
        <v>97</v>
      </c>
      <c r="AC655" s="1294"/>
      <c r="AD655" s="1294"/>
      <c r="AF655" s="1294" t="s">
        <v>98</v>
      </c>
      <c r="AG655" s="1294"/>
      <c r="AH655" s="1294"/>
      <c r="AJ655" s="1294" t="s">
        <v>99</v>
      </c>
      <c r="AK655" s="1294"/>
      <c r="AL655" s="1294"/>
      <c r="AN655" s="1294" t="s">
        <v>101</v>
      </c>
      <c r="AO655" s="1294"/>
      <c r="AP655" s="1294"/>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Refrigeratore-climatizzatore (2'000 h/a)</v>
      </c>
      <c r="I656" s="21"/>
      <c r="J656" s="21"/>
      <c r="K656" s="21"/>
      <c r="L656" s="21"/>
      <c r="M656" s="21"/>
      <c r="N656" s="21"/>
      <c r="O656" s="21"/>
      <c r="P656" s="21"/>
      <c r="Q656" s="21"/>
      <c r="R656" s="21"/>
      <c r="S656" s="21"/>
      <c r="T656" s="21"/>
      <c r="U656" s="22"/>
      <c r="V656" s="23" t="s">
        <v>116</v>
      </c>
      <c r="W656" s="5"/>
      <c r="X656" s="1286">
        <f>IF($H$655=$H656,X649,0)</f>
        <v>0</v>
      </c>
      <c r="Y656" s="1286"/>
      <c r="Z656" s="1286"/>
      <c r="AB656" s="1286">
        <f>IF($H$655=$H656,AB649,0)</f>
        <v>0</v>
      </c>
      <c r="AC656" s="1286"/>
      <c r="AD656" s="1286"/>
      <c r="AF656" s="1286">
        <f>IF($H$655=$H656,AF649,0)</f>
        <v>0</v>
      </c>
      <c r="AG656" s="1286"/>
      <c r="AH656" s="1286"/>
      <c r="AJ656" s="1286">
        <f>IF($H$655=$H656,AJ649,0)</f>
        <v>0</v>
      </c>
      <c r="AK656" s="1286"/>
      <c r="AL656" s="1286"/>
      <c r="AN656" s="1286">
        <f>SUM(X656:AL656)</f>
        <v>0</v>
      </c>
      <c r="AO656" s="1286"/>
      <c r="AP656" s="1286"/>
      <c r="AQ656" s="334"/>
      <c r="AR656" s="334"/>
      <c r="AV656" t="s">
        <v>199</v>
      </c>
      <c r="BQ656" s="201"/>
    </row>
    <row r="657" spans="8:69" hidden="1" outlineLevel="1" x14ac:dyDescent="0.15">
      <c r="H657" s="22" t="str">
        <f>H643</f>
        <v>B: Impianto con 3'500 ore di funz. a pieno regime all'anno</v>
      </c>
      <c r="I657" s="21"/>
      <c r="J657" s="21"/>
      <c r="K657" s="21"/>
      <c r="L657" s="21"/>
      <c r="M657" s="21"/>
      <c r="N657" s="21"/>
      <c r="O657" s="21"/>
      <c r="P657" s="21"/>
      <c r="Q657" s="21"/>
      <c r="R657" s="21"/>
      <c r="S657" s="21"/>
      <c r="T657" s="21"/>
      <c r="U657" s="22"/>
      <c r="V657" s="23" t="s">
        <v>116</v>
      </c>
      <c r="W657" s="5"/>
      <c r="X657" s="1286">
        <f>IF($H$655=$H657,X650,0)</f>
        <v>0</v>
      </c>
      <c r="Y657" s="1286"/>
      <c r="Z657" s="1286"/>
      <c r="AB657" s="1286">
        <f>IF($H$655=$H657,AB650,0)</f>
        <v>0</v>
      </c>
      <c r="AC657" s="1286"/>
      <c r="AD657" s="1286"/>
      <c r="AF657" s="1286">
        <f>IF($H$655=$H657,AF650,0)</f>
        <v>0</v>
      </c>
      <c r="AG657" s="1286"/>
      <c r="AH657" s="1286"/>
      <c r="AJ657" s="1286">
        <f>IF($H$655=$H657,AJ650,0)</f>
        <v>0</v>
      </c>
      <c r="AK657" s="1286"/>
      <c r="AL657" s="1286"/>
      <c r="AN657" s="1286">
        <f>SUM(X657:AL657)</f>
        <v>0</v>
      </c>
      <c r="AO657" s="1286"/>
      <c r="AP657" s="1286"/>
      <c r="AQ657" s="334"/>
      <c r="AR657" s="334"/>
      <c r="BQ657" s="201"/>
    </row>
    <row r="658" spans="8:69" hidden="1" outlineLevel="1" x14ac:dyDescent="0.15">
      <c r="H658" s="22" t="str">
        <f>H644</f>
        <v>C: Impianto con 5'000 ore di funz. a pieno regime all'anno</v>
      </c>
      <c r="I658" s="21"/>
      <c r="J658" s="21"/>
      <c r="K658" s="21"/>
      <c r="L658" s="21"/>
      <c r="M658" s="21"/>
      <c r="N658" s="21"/>
      <c r="O658" s="21"/>
      <c r="P658" s="21"/>
      <c r="Q658" s="21"/>
      <c r="R658" s="21"/>
      <c r="S658" s="21"/>
      <c r="T658" s="21"/>
      <c r="U658" s="22"/>
      <c r="V658" s="23" t="s">
        <v>116</v>
      </c>
      <c r="W658" s="5"/>
      <c r="X658" s="1286">
        <f>IF($H$655=$H658,X651,0)</f>
        <v>0</v>
      </c>
      <c r="Y658" s="1286"/>
      <c r="Z658" s="1286"/>
      <c r="AB658" s="1286">
        <f>IF($H$655=$H658,AB651,0)</f>
        <v>0</v>
      </c>
      <c r="AC658" s="1286"/>
      <c r="AD658" s="1286"/>
      <c r="AF658" s="1286">
        <f>IF($H$655=$H658,AF651,0)</f>
        <v>0</v>
      </c>
      <c r="AG658" s="1286"/>
      <c r="AH658" s="1286"/>
      <c r="AJ658" s="1286">
        <f>IF($H$655=$H658,AJ651,0)</f>
        <v>0</v>
      </c>
      <c r="AK658" s="1286"/>
      <c r="AL658" s="1286"/>
      <c r="AN658" s="1286">
        <f>SUM(X658:AL658)</f>
        <v>0</v>
      </c>
      <c r="AO658" s="1286"/>
      <c r="AP658" s="1286"/>
      <c r="AQ658" s="334"/>
      <c r="AR658" s="334"/>
      <c r="BQ658" s="201"/>
    </row>
    <row r="659" spans="8:69" hidden="1" outlineLevel="1" x14ac:dyDescent="0.15">
      <c r="H659" s="22" t="str">
        <f>H645</f>
        <v>D: Impianto con 7'500 ore di funz. a pieno regime all'anno</v>
      </c>
      <c r="I659" s="21"/>
      <c r="J659" s="21"/>
      <c r="K659" s="21"/>
      <c r="L659" s="21"/>
      <c r="M659" s="21"/>
      <c r="N659" s="21"/>
      <c r="O659" s="21"/>
      <c r="P659" s="21"/>
      <c r="Q659" s="21"/>
      <c r="R659" s="21"/>
      <c r="S659" s="21"/>
      <c r="T659" s="21"/>
      <c r="U659" s="22"/>
      <c r="V659" s="23" t="s">
        <v>116</v>
      </c>
      <c r="W659" s="5"/>
      <c r="X659" s="1286">
        <f>IF($H$655=$H659,X652,0)</f>
        <v>0</v>
      </c>
      <c r="Y659" s="1286"/>
      <c r="Z659" s="1286"/>
      <c r="AB659" s="1286">
        <f>IF($H$655=$H659,AB652,0)</f>
        <v>0</v>
      </c>
      <c r="AC659" s="1286"/>
      <c r="AD659" s="1286"/>
      <c r="AF659" s="1286">
        <f>IF($H$655=$H659,AF652,0)</f>
        <v>0</v>
      </c>
      <c r="AG659" s="1286"/>
      <c r="AH659" s="1286"/>
      <c r="AJ659" s="1286">
        <f>IF($H$655=$H659,AJ652,0)</f>
        <v>0</v>
      </c>
      <c r="AK659" s="1286"/>
      <c r="AL659" s="1286"/>
      <c r="AN659" s="1286">
        <f>SUM(X659:AL659)</f>
        <v>0</v>
      </c>
      <c r="AO659" s="1286"/>
      <c r="AP659" s="1286"/>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286">
        <f>SUM(X656:Z659)</f>
        <v>0</v>
      </c>
      <c r="Y660" s="1286"/>
      <c r="Z660" s="1286"/>
      <c r="AB660" s="1286">
        <f>SUM(AB656:AD659)</f>
        <v>0</v>
      </c>
      <c r="AC660" s="1286"/>
      <c r="AD660" s="1286"/>
      <c r="AF660" s="1286">
        <f>SUM(AF656:AH659)</f>
        <v>0</v>
      </c>
      <c r="AG660" s="1286"/>
      <c r="AH660" s="1286"/>
      <c r="AJ660" s="1286">
        <f>SUM(AJ656:AL659)</f>
        <v>0</v>
      </c>
      <c r="AK660" s="1286"/>
      <c r="AL660" s="1286"/>
      <c r="AN660" s="1286">
        <f>SUM(AN656:AP659)</f>
        <v>0</v>
      </c>
      <c r="AO660" s="1286"/>
      <c r="AP660" s="1286"/>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453" t="s">
        <v>94</v>
      </c>
      <c r="Y662" s="1453"/>
      <c r="Z662" s="1453"/>
      <c r="AB662" s="1453" t="s">
        <v>97</v>
      </c>
      <c r="AC662" s="1453"/>
      <c r="AD662" s="1453"/>
      <c r="AF662" s="1453" t="s">
        <v>98</v>
      </c>
      <c r="AG662" s="1453"/>
      <c r="AH662" s="1453"/>
      <c r="AJ662" s="1453" t="s">
        <v>99</v>
      </c>
      <c r="AK662" s="1453"/>
      <c r="AL662" s="1453"/>
      <c r="AN662" s="1453" t="s">
        <v>101</v>
      </c>
      <c r="AO662" s="1453"/>
      <c r="AP662" s="1453"/>
      <c r="AQ662" s="200"/>
      <c r="AR662" s="200"/>
      <c r="AV662" s="1453" t="s">
        <v>94</v>
      </c>
      <c r="AW662" s="1453"/>
      <c r="AX662" s="1453"/>
      <c r="AZ662" s="1453" t="s">
        <v>97</v>
      </c>
      <c r="BA662" s="1453"/>
      <c r="BB662" s="1453"/>
      <c r="BD662" s="1453" t="s">
        <v>98</v>
      </c>
      <c r="BE662" s="1453"/>
      <c r="BF662" s="1453"/>
      <c r="BH662" s="1453" t="s">
        <v>99</v>
      </c>
      <c r="BI662" s="1453"/>
      <c r="BJ662" s="1453"/>
      <c r="BL662" s="1453" t="s">
        <v>101</v>
      </c>
      <c r="BM662" s="1453"/>
      <c r="BN662" s="1453"/>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454">
        <f>X660</f>
        <v>0</v>
      </c>
      <c r="Y663" s="1454"/>
      <c r="Z663" s="1454"/>
      <c r="AB663" s="1454">
        <f>AB660</f>
        <v>0</v>
      </c>
      <c r="AC663" s="1454"/>
      <c r="AD663" s="1454"/>
      <c r="AF663" s="1454">
        <f>AF660</f>
        <v>0</v>
      </c>
      <c r="AG663" s="1454"/>
      <c r="AH663" s="1454"/>
      <c r="AJ663" s="1454">
        <f>AJ660</f>
        <v>0</v>
      </c>
      <c r="AK663" s="1454"/>
      <c r="AL663" s="1454"/>
      <c r="AN663" s="1454">
        <f>SUM(X663:AL663)</f>
        <v>0</v>
      </c>
      <c r="AO663" s="1454"/>
      <c r="AP663" s="1454"/>
      <c r="AQ663" s="204"/>
      <c r="AR663" s="204"/>
      <c r="AV663" s="1454">
        <f>X663</f>
        <v>0</v>
      </c>
      <c r="AW663" s="1454"/>
      <c r="AX663" s="1454"/>
      <c r="AZ663" s="1454">
        <f>AB663</f>
        <v>0</v>
      </c>
      <c r="BA663" s="1454"/>
      <c r="BB663" s="1454"/>
      <c r="BD663" s="1454">
        <f>AF663</f>
        <v>0</v>
      </c>
      <c r="BE663" s="1454"/>
      <c r="BF663" s="1454"/>
      <c r="BH663" s="1454">
        <f>AJ663</f>
        <v>0</v>
      </c>
      <c r="BI663" s="1454"/>
      <c r="BJ663" s="1454"/>
      <c r="BL663" s="1454">
        <f>AN663</f>
        <v>0</v>
      </c>
      <c r="BM663" s="1454"/>
      <c r="BN663" s="1454"/>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285">
        <f>365/4</f>
        <v>91.25</v>
      </c>
      <c r="Y664" s="1285"/>
      <c r="Z664" s="1285"/>
      <c r="AB664" s="1285">
        <f>365/4</f>
        <v>91.25</v>
      </c>
      <c r="AC664" s="1285"/>
      <c r="AD664" s="1285"/>
      <c r="AF664" s="1285">
        <f>365/4</f>
        <v>91.25</v>
      </c>
      <c r="AG664" s="1285"/>
      <c r="AH664" s="1285"/>
      <c r="AJ664" s="1285">
        <f>365/4</f>
        <v>91.25</v>
      </c>
      <c r="AK664" s="1285"/>
      <c r="AL664" s="1285"/>
      <c r="AN664" s="1456">
        <f>SUM(X664:AL664)</f>
        <v>365</v>
      </c>
      <c r="AO664" s="1456"/>
      <c r="AP664" s="1456"/>
      <c r="AQ664" s="335"/>
      <c r="AR664" s="335"/>
      <c r="AV664" s="1285">
        <f>365/4</f>
        <v>91.25</v>
      </c>
      <c r="AW664" s="1285"/>
      <c r="AX664" s="1285"/>
      <c r="AZ664" s="1285">
        <f>365/4</f>
        <v>91.25</v>
      </c>
      <c r="BA664" s="1285"/>
      <c r="BB664" s="1285"/>
      <c r="BD664" s="1285">
        <f>365/4</f>
        <v>91.25</v>
      </c>
      <c r="BE664" s="1285"/>
      <c r="BF664" s="1285"/>
      <c r="BH664" s="1285">
        <f>365/4</f>
        <v>91.25</v>
      </c>
      <c r="BI664" s="1285"/>
      <c r="BJ664" s="1285"/>
      <c r="BL664" s="1454">
        <f>SUM(AV664:BJ664)</f>
        <v>365</v>
      </c>
      <c r="BM664" s="1454"/>
      <c r="BN664" s="1454"/>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31">
        <f>X663/X664</f>
        <v>0</v>
      </c>
      <c r="Y665" s="1331"/>
      <c r="Z665" s="1331"/>
      <c r="AB665" s="1331">
        <f>AB663/AB664</f>
        <v>0</v>
      </c>
      <c r="AC665" s="1331"/>
      <c r="AD665" s="1331"/>
      <c r="AF665" s="1331">
        <f>AF663/AF664</f>
        <v>0</v>
      </c>
      <c r="AG665" s="1331"/>
      <c r="AH665" s="1331"/>
      <c r="AJ665" s="1331">
        <f>AJ663/AJ664</f>
        <v>0</v>
      </c>
      <c r="AK665" s="1331"/>
      <c r="AL665" s="1331"/>
      <c r="AN665" s="1331">
        <f>AN663/AN664</f>
        <v>0</v>
      </c>
      <c r="AO665" s="1331"/>
      <c r="AP665" s="1331"/>
      <c r="AQ665" s="336"/>
      <c r="AR665" s="336"/>
      <c r="AV665" s="1331">
        <f>AV663/AV664</f>
        <v>0</v>
      </c>
      <c r="AW665" s="1331"/>
      <c r="AX665" s="1331"/>
      <c r="AZ665" s="1331">
        <f>AZ663/AZ664</f>
        <v>0</v>
      </c>
      <c r="BA665" s="1331"/>
      <c r="BB665" s="1331"/>
      <c r="BD665" s="1331">
        <f>BD663/BD664</f>
        <v>0</v>
      </c>
      <c r="BE665" s="1331"/>
      <c r="BF665" s="1331"/>
      <c r="BH665" s="1331">
        <f>BH663/BH664</f>
        <v>0</v>
      </c>
      <c r="BI665" s="1331"/>
      <c r="BJ665" s="1331"/>
      <c r="BL665" s="1331">
        <f>BL663/BL664</f>
        <v>0</v>
      </c>
      <c r="BM665" s="1331"/>
      <c r="BN665" s="1331"/>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26" t="str">
        <f>$I69</f>
        <v>Compressore 1</v>
      </c>
      <c r="Y674" s="1326"/>
      <c r="Z674" s="1326"/>
      <c r="AA674" s="209"/>
      <c r="AB674" s="1326" t="str">
        <f>$I71</f>
        <v>Compressore 2</v>
      </c>
      <c r="AC674" s="1326"/>
      <c r="AD674" s="1326"/>
      <c r="AE674" s="209"/>
      <c r="AF674" s="1326" t="str">
        <f>$I73</f>
        <v>Compressore 3</v>
      </c>
      <c r="AG674" s="1326"/>
      <c r="AH674" s="1326"/>
      <c r="AI674" s="209"/>
      <c r="AJ674" s="1326" t="str">
        <f>$I75</f>
        <v>Compressore 4</v>
      </c>
      <c r="AK674" s="1326"/>
      <c r="AL674" s="1326"/>
      <c r="AM674" s="210"/>
      <c r="AN674" s="1455" t="s">
        <v>190</v>
      </c>
      <c r="AO674" s="1455"/>
      <c r="AP674" s="1455"/>
      <c r="AQ674" s="319"/>
      <c r="AR674" s="319"/>
      <c r="AS674"/>
      <c r="AT674"/>
      <c r="AU674"/>
      <c r="AV674" s="1326" t="str">
        <f>$I69</f>
        <v>Compressore 1</v>
      </c>
      <c r="AW674" s="1326"/>
      <c r="AX674" s="1326"/>
      <c r="AY674" s="209"/>
      <c r="AZ674" s="1326" t="str">
        <f>$I71</f>
        <v>Compressore 2</v>
      </c>
      <c r="BA674" s="1326"/>
      <c r="BB674" s="1326"/>
      <c r="BC674" s="209"/>
      <c r="BD674" s="1326" t="str">
        <f>$I73</f>
        <v>Compressore 3</v>
      </c>
      <c r="BE674" s="1326"/>
      <c r="BF674" s="1326"/>
      <c r="BG674" s="209"/>
      <c r="BH674" s="1326" t="str">
        <f>$I75</f>
        <v>Compressore 4</v>
      </c>
      <c r="BI674" s="1326"/>
      <c r="BJ674" s="1326"/>
      <c r="BK674" s="210"/>
      <c r="BL674" s="1455" t="s">
        <v>190</v>
      </c>
      <c r="BM674" s="1455"/>
      <c r="BN674" s="1455"/>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284">
        <f>AB69</f>
        <v>0</v>
      </c>
      <c r="Y675" s="1284"/>
      <c r="Z675" s="1284"/>
      <c r="AA675"/>
      <c r="AB675" s="1284">
        <f>AB71</f>
        <v>0</v>
      </c>
      <c r="AC675" s="1284"/>
      <c r="AD675" s="1284"/>
      <c r="AE675"/>
      <c r="AF675" s="1284">
        <f>AB73</f>
        <v>0</v>
      </c>
      <c r="AG675" s="1284"/>
      <c r="AH675" s="1284"/>
      <c r="AI675"/>
      <c r="AJ675" s="1284">
        <f>AB75</f>
        <v>0</v>
      </c>
      <c r="AK675" s="1284"/>
      <c r="AL675" s="1284"/>
      <c r="AM675"/>
      <c r="AN675" s="1284"/>
      <c r="AO675" s="1284"/>
      <c r="AP675" s="1284"/>
      <c r="AQ675" s="211"/>
      <c r="AR675" s="211"/>
      <c r="AS675"/>
      <c r="AT675"/>
      <c r="AU675"/>
      <c r="AV675" s="1284">
        <f>AZ69</f>
        <v>0</v>
      </c>
      <c r="AW675" s="1284"/>
      <c r="AX675" s="1284"/>
      <c r="AY675"/>
      <c r="AZ675" s="1284">
        <f>AZ71</f>
        <v>0</v>
      </c>
      <c r="BA675" s="1284"/>
      <c r="BB675" s="1284"/>
      <c r="BC675"/>
      <c r="BD675" s="1284">
        <f>AZ73</f>
        <v>0</v>
      </c>
      <c r="BE675" s="1284"/>
      <c r="BF675" s="1284"/>
      <c r="BG675"/>
      <c r="BH675" s="1284">
        <f>AZ75</f>
        <v>0</v>
      </c>
      <c r="BI675" s="1284"/>
      <c r="BJ675" s="1284"/>
      <c r="BK675"/>
      <c r="BL675" s="1284"/>
      <c r="BM675" s="1284"/>
      <c r="BN675" s="1284"/>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acceso/spento</v>
      </c>
      <c r="J679" s="191"/>
      <c r="K679" s="191"/>
      <c r="L679" s="191"/>
      <c r="M679" s="191"/>
      <c r="N679" s="191"/>
      <c r="O679" s="191"/>
      <c r="P679" s="191"/>
      <c r="Q679" s="191"/>
      <c r="R679" s="191"/>
      <c r="S679" s="191"/>
      <c r="T679" s="1486">
        <v>0.25</v>
      </c>
      <c r="U679" s="1486"/>
      <c r="V679" s="1486"/>
      <c r="W679" s="191"/>
      <c r="X679" s="1369">
        <f t="shared" ref="X679:X684" si="109">IF(X$675=$I679,$T679,0)</f>
        <v>0</v>
      </c>
      <c r="Y679" s="1369"/>
      <c r="Z679" s="1369"/>
      <c r="AA679" s="213"/>
      <c r="AB679" s="1369">
        <f t="shared" ref="AB679:AB684" si="110">IF(AB$675=$I679,$T679,0)</f>
        <v>0</v>
      </c>
      <c r="AC679" s="1369"/>
      <c r="AD679" s="1369"/>
      <c r="AE679" s="213"/>
      <c r="AF679" s="1369">
        <f t="shared" ref="AF679:AF684" si="111">IF(AF$675=$I679,$T679,0)</f>
        <v>0</v>
      </c>
      <c r="AG679" s="1369"/>
      <c r="AH679" s="1369"/>
      <c r="AI679" s="213"/>
      <c r="AJ679" s="1369">
        <f t="shared" ref="AJ679:AJ684" si="112">IF(AJ$675=$I679,$T679,0)</f>
        <v>0</v>
      </c>
      <c r="AK679" s="1369"/>
      <c r="AL679" s="1369"/>
      <c r="AM679" s="66"/>
      <c r="AN679" s="1399"/>
      <c r="AO679" s="1399"/>
      <c r="AP679" s="1399"/>
      <c r="AQ679" s="211"/>
      <c r="AR679" s="211"/>
      <c r="AS679" s="192"/>
      <c r="AT679" s="192"/>
      <c r="AU679" s="192"/>
      <c r="AV679" s="1369">
        <f t="shared" ref="AV679:AV684" si="113">IF(AV$675=$I679,$T679,0)</f>
        <v>0</v>
      </c>
      <c r="AW679" s="1369"/>
      <c r="AX679" s="1369"/>
      <c r="AY679" s="213"/>
      <c r="AZ679" s="1369">
        <f t="shared" ref="AZ679:AZ684" si="114">IF(AZ$675=$I679,$T679,0)</f>
        <v>0</v>
      </c>
      <c r="BA679" s="1369"/>
      <c r="BB679" s="1369"/>
      <c r="BC679" s="213"/>
      <c r="BD679" s="1369">
        <f t="shared" ref="BD679:BD684" si="115">IF(BD$675=$I679,$T679,0)</f>
        <v>0</v>
      </c>
      <c r="BE679" s="1369"/>
      <c r="BF679" s="1369"/>
      <c r="BG679" s="213"/>
      <c r="BH679" s="1369">
        <f t="shared" ref="BH679:BH684" si="116">IF(BH$675=$I679,$T679,0)</f>
        <v>0</v>
      </c>
      <c r="BI679" s="1369"/>
      <c r="BJ679" s="1369"/>
      <c r="BK679" s="66"/>
      <c r="BL679" s="1399"/>
      <c r="BM679" s="1399"/>
      <c r="BN679" s="1399"/>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acceso/spento (con accumulatore piccolo, il compressore si accende più di 6 volte all'ora)</v>
      </c>
      <c r="J680" s="191"/>
      <c r="K680" s="191"/>
      <c r="L680" s="191"/>
      <c r="M680" s="191"/>
      <c r="N680" s="191"/>
      <c r="O680" s="191"/>
      <c r="P680" s="191"/>
      <c r="Q680" s="191"/>
      <c r="R680" s="191"/>
      <c r="S680" s="191"/>
      <c r="T680" s="1486">
        <v>0.15</v>
      </c>
      <c r="U680" s="1486"/>
      <c r="V680" s="1486"/>
      <c r="W680" s="191"/>
      <c r="X680" s="1369">
        <f t="shared" si="109"/>
        <v>0</v>
      </c>
      <c r="Y680" s="1369"/>
      <c r="Z680" s="1369"/>
      <c r="AA680" s="213"/>
      <c r="AB680" s="1369">
        <f t="shared" si="110"/>
        <v>0</v>
      </c>
      <c r="AC680" s="1369"/>
      <c r="AD680" s="1369"/>
      <c r="AE680" s="213"/>
      <c r="AF680" s="1369">
        <f t="shared" si="111"/>
        <v>0</v>
      </c>
      <c r="AG680" s="1369"/>
      <c r="AH680" s="1369"/>
      <c r="AI680" s="213"/>
      <c r="AJ680" s="1369">
        <f t="shared" si="112"/>
        <v>0</v>
      </c>
      <c r="AK680" s="1369"/>
      <c r="AL680" s="1369"/>
      <c r="AM680" s="66"/>
      <c r="AN680" s="1399"/>
      <c r="AO680" s="1399"/>
      <c r="AP680" s="1399"/>
      <c r="AQ680" s="211"/>
      <c r="AR680" s="211"/>
      <c r="AS680" s="192"/>
      <c r="AT680" s="192"/>
      <c r="AU680" s="192"/>
      <c r="AV680" s="1369">
        <f t="shared" si="113"/>
        <v>0</v>
      </c>
      <c r="AW680" s="1369"/>
      <c r="AX680" s="1369"/>
      <c r="AY680" s="213"/>
      <c r="AZ680" s="1369">
        <f t="shared" si="114"/>
        <v>0</v>
      </c>
      <c r="BA680" s="1369"/>
      <c r="BB680" s="1369"/>
      <c r="BC680" s="213"/>
      <c r="BD680" s="1369">
        <f t="shared" si="115"/>
        <v>0</v>
      </c>
      <c r="BE680" s="1369"/>
      <c r="BF680" s="1369"/>
      <c r="BG680" s="213"/>
      <c r="BH680" s="1369">
        <f t="shared" si="116"/>
        <v>0</v>
      </c>
      <c r="BI680" s="1369"/>
      <c r="BJ680" s="1369"/>
      <c r="BK680" s="66"/>
      <c r="BL680" s="1399"/>
      <c r="BM680" s="1399"/>
      <c r="BN680" s="1399"/>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acceso/spento (con accumulatore grande, il compressore si accende meno di 6 volte all'ora)</v>
      </c>
      <c r="J681" s="191"/>
      <c r="K681" s="191"/>
      <c r="L681" s="191"/>
      <c r="M681" s="191"/>
      <c r="N681" s="191"/>
      <c r="O681" s="191"/>
      <c r="P681" s="191"/>
      <c r="Q681" s="191"/>
      <c r="R681" s="191"/>
      <c r="S681" s="191"/>
      <c r="T681" s="1486">
        <v>0.05</v>
      </c>
      <c r="U681" s="1486"/>
      <c r="V681" s="1486"/>
      <c r="W681" s="191"/>
      <c r="X681" s="1369">
        <f t="shared" si="109"/>
        <v>0</v>
      </c>
      <c r="Y681" s="1369"/>
      <c r="Z681" s="1369"/>
      <c r="AA681" s="213"/>
      <c r="AB681" s="1369">
        <f t="shared" si="110"/>
        <v>0</v>
      </c>
      <c r="AC681" s="1369"/>
      <c r="AD681" s="1369"/>
      <c r="AE681" s="213"/>
      <c r="AF681" s="1369">
        <f t="shared" si="111"/>
        <v>0</v>
      </c>
      <c r="AG681" s="1369"/>
      <c r="AH681" s="1369"/>
      <c r="AI681" s="213"/>
      <c r="AJ681" s="1369">
        <f t="shared" si="112"/>
        <v>0</v>
      </c>
      <c r="AK681" s="1369"/>
      <c r="AL681" s="1369"/>
      <c r="AM681" s="66"/>
      <c r="AN681" s="1399"/>
      <c r="AO681" s="1399"/>
      <c r="AP681" s="1399"/>
      <c r="AQ681" s="211"/>
      <c r="AR681" s="211"/>
      <c r="AS681" s="192"/>
      <c r="AT681" s="192"/>
      <c r="AU681" s="192"/>
      <c r="AV681" s="1369">
        <f t="shared" si="113"/>
        <v>0</v>
      </c>
      <c r="AW681" s="1369"/>
      <c r="AX681" s="1369"/>
      <c r="AY681" s="213"/>
      <c r="AZ681" s="1369">
        <f t="shared" si="114"/>
        <v>0</v>
      </c>
      <c r="BA681" s="1369"/>
      <c r="BB681" s="1369"/>
      <c r="BC681" s="213"/>
      <c r="BD681" s="1369">
        <f t="shared" si="115"/>
        <v>0</v>
      </c>
      <c r="BE681" s="1369"/>
      <c r="BF681" s="1369"/>
      <c r="BG681" s="213"/>
      <c r="BH681" s="1369">
        <f t="shared" si="116"/>
        <v>0</v>
      </c>
      <c r="BI681" s="1369"/>
      <c r="BJ681" s="1369"/>
      <c r="BK681" s="66"/>
      <c r="BL681" s="1399"/>
      <c r="BM681" s="1399"/>
      <c r="BN681" s="1399"/>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Spegnimento livello compressore</v>
      </c>
      <c r="J682" s="191"/>
      <c r="K682" s="191"/>
      <c r="L682" s="191"/>
      <c r="M682" s="191"/>
      <c r="N682" s="191"/>
      <c r="O682" s="191"/>
      <c r="P682" s="191"/>
      <c r="Q682" s="191"/>
      <c r="R682" s="191"/>
      <c r="S682" s="191"/>
      <c r="T682" s="1486">
        <v>0.1</v>
      </c>
      <c r="U682" s="1486"/>
      <c r="V682" s="1486"/>
      <c r="W682" s="191"/>
      <c r="X682" s="1369">
        <f t="shared" si="109"/>
        <v>0</v>
      </c>
      <c r="Y682" s="1369"/>
      <c r="Z682" s="1369"/>
      <c r="AA682" s="213"/>
      <c r="AB682" s="1369">
        <f t="shared" si="110"/>
        <v>0</v>
      </c>
      <c r="AC682" s="1369"/>
      <c r="AD682" s="1369"/>
      <c r="AE682" s="213"/>
      <c r="AF682" s="1369">
        <f t="shared" si="111"/>
        <v>0</v>
      </c>
      <c r="AG682" s="1369"/>
      <c r="AH682" s="1369"/>
      <c r="AI682" s="213"/>
      <c r="AJ682" s="1369">
        <f t="shared" si="112"/>
        <v>0</v>
      </c>
      <c r="AK682" s="1369"/>
      <c r="AL682" s="1369"/>
      <c r="AM682" s="66"/>
      <c r="AN682" s="1399"/>
      <c r="AO682" s="1399"/>
      <c r="AP682" s="1399"/>
      <c r="AQ682" s="211"/>
      <c r="AR682" s="211"/>
      <c r="AS682" s="192"/>
      <c r="AT682" s="192"/>
      <c r="AU682" s="192"/>
      <c r="AV682" s="1369">
        <f t="shared" si="113"/>
        <v>0</v>
      </c>
      <c r="AW682" s="1369"/>
      <c r="AX682" s="1369"/>
      <c r="AY682" s="213"/>
      <c r="AZ682" s="1369">
        <f t="shared" si="114"/>
        <v>0</v>
      </c>
      <c r="BA682" s="1369"/>
      <c r="BB682" s="1369"/>
      <c r="BC682" s="213"/>
      <c r="BD682" s="1369">
        <f t="shared" si="115"/>
        <v>0</v>
      </c>
      <c r="BE682" s="1369"/>
      <c r="BF682" s="1369"/>
      <c r="BG682" s="213"/>
      <c r="BH682" s="1369">
        <f t="shared" si="116"/>
        <v>0</v>
      </c>
      <c r="BI682" s="1369"/>
      <c r="BJ682" s="1369"/>
      <c r="BK682" s="66"/>
      <c r="BL682" s="1399"/>
      <c r="BM682" s="1399"/>
      <c r="BN682" s="1399"/>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Convertitore di frequenza</v>
      </c>
      <c r="J683" s="191"/>
      <c r="K683" s="191"/>
      <c r="L683" s="191"/>
      <c r="M683" s="191"/>
      <c r="N683" s="191"/>
      <c r="O683" s="191"/>
      <c r="P683" s="191"/>
      <c r="Q683" s="191"/>
      <c r="R683" s="191"/>
      <c r="S683" s="191"/>
      <c r="T683" s="1486">
        <v>0.05</v>
      </c>
      <c r="U683" s="1486"/>
      <c r="V683" s="1486"/>
      <c r="W683" s="191"/>
      <c r="X683" s="1369">
        <f t="shared" si="109"/>
        <v>0</v>
      </c>
      <c r="Y683" s="1369"/>
      <c r="Z683" s="1369"/>
      <c r="AA683" s="213"/>
      <c r="AB683" s="1369">
        <f t="shared" si="110"/>
        <v>0</v>
      </c>
      <c r="AC683" s="1369"/>
      <c r="AD683" s="1369"/>
      <c r="AE683" s="213"/>
      <c r="AF683" s="1369">
        <f t="shared" si="111"/>
        <v>0</v>
      </c>
      <c r="AG683" s="1369"/>
      <c r="AH683" s="1369"/>
      <c r="AI683" s="213"/>
      <c r="AJ683" s="1369">
        <f t="shared" si="112"/>
        <v>0</v>
      </c>
      <c r="AK683" s="1369"/>
      <c r="AL683" s="1369"/>
      <c r="AM683" s="66"/>
      <c r="AN683" s="1399"/>
      <c r="AO683" s="1399"/>
      <c r="AP683" s="1399"/>
      <c r="AQ683" s="211"/>
      <c r="AR683" s="211"/>
      <c r="AS683" s="192"/>
      <c r="AT683" s="192"/>
      <c r="AU683" s="192"/>
      <c r="AV683" s="1369">
        <f t="shared" si="113"/>
        <v>0</v>
      </c>
      <c r="AW683" s="1369"/>
      <c r="AX683" s="1369"/>
      <c r="AY683" s="213"/>
      <c r="AZ683" s="1369">
        <f t="shared" si="114"/>
        <v>0</v>
      </c>
      <c r="BA683" s="1369"/>
      <c r="BB683" s="1369"/>
      <c r="BC683" s="213"/>
      <c r="BD683" s="1369">
        <f t="shared" si="115"/>
        <v>0</v>
      </c>
      <c r="BE683" s="1369"/>
      <c r="BF683" s="1369"/>
      <c r="BG683" s="213"/>
      <c r="BH683" s="1369">
        <f t="shared" si="116"/>
        <v>0</v>
      </c>
      <c r="BI683" s="1369"/>
      <c r="BJ683" s="1369"/>
      <c r="BK683" s="66"/>
      <c r="BL683" s="1399"/>
      <c r="BM683" s="1399"/>
      <c r="BN683" s="1399"/>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Convertitore di frequenza (con polmone)</v>
      </c>
      <c r="J684" s="214"/>
      <c r="K684" s="214"/>
      <c r="L684" s="214"/>
      <c r="M684" s="214"/>
      <c r="N684" s="214"/>
      <c r="O684" s="214"/>
      <c r="P684" s="214"/>
      <c r="Q684" s="214"/>
      <c r="R684" s="214"/>
      <c r="S684" s="214"/>
      <c r="T684" s="1489">
        <v>0.03</v>
      </c>
      <c r="U684" s="1489"/>
      <c r="V684" s="1489"/>
      <c r="W684" s="214"/>
      <c r="X684" s="1443">
        <f t="shared" si="109"/>
        <v>0</v>
      </c>
      <c r="Y684" s="1443"/>
      <c r="Z684" s="1443"/>
      <c r="AA684" s="215"/>
      <c r="AB684" s="1443">
        <f t="shared" si="110"/>
        <v>0</v>
      </c>
      <c r="AC684" s="1443"/>
      <c r="AD684" s="1443"/>
      <c r="AE684" s="215"/>
      <c r="AF684" s="1443">
        <f t="shared" si="111"/>
        <v>0</v>
      </c>
      <c r="AG684" s="1443"/>
      <c r="AH684" s="1443"/>
      <c r="AI684" s="215"/>
      <c r="AJ684" s="1443">
        <f t="shared" si="112"/>
        <v>0</v>
      </c>
      <c r="AK684" s="1443"/>
      <c r="AL684" s="1443"/>
      <c r="AM684" s="207"/>
      <c r="AN684" s="1457"/>
      <c r="AO684" s="1457"/>
      <c r="AP684" s="1457"/>
      <c r="AQ684" s="211"/>
      <c r="AR684" s="211"/>
      <c r="AS684" s="192"/>
      <c r="AT684" s="192"/>
      <c r="AU684" s="192"/>
      <c r="AV684" s="1443">
        <f t="shared" si="113"/>
        <v>0</v>
      </c>
      <c r="AW684" s="1443"/>
      <c r="AX684" s="1443"/>
      <c r="AY684" s="215"/>
      <c r="AZ684" s="1443">
        <f t="shared" si="114"/>
        <v>0</v>
      </c>
      <c r="BA684" s="1443"/>
      <c r="BB684" s="1443"/>
      <c r="BC684" s="215"/>
      <c r="BD684" s="1443">
        <f t="shared" si="115"/>
        <v>0</v>
      </c>
      <c r="BE684" s="1443"/>
      <c r="BF684" s="1443"/>
      <c r="BG684" s="215"/>
      <c r="BH684" s="1443">
        <f t="shared" si="116"/>
        <v>0</v>
      </c>
      <c r="BI684" s="1443"/>
      <c r="BJ684" s="1443"/>
      <c r="BK684" s="207"/>
      <c r="BL684" s="1457"/>
      <c r="BM684" s="1457"/>
      <c r="BN684" s="1457"/>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Impatto</v>
      </c>
      <c r="J685" s="216"/>
      <c r="K685" s="216"/>
      <c r="L685" s="216"/>
      <c r="M685" s="216"/>
      <c r="N685" s="216"/>
      <c r="O685" s="216"/>
      <c r="P685" s="216"/>
      <c r="Q685" s="216"/>
      <c r="R685" s="216"/>
      <c r="S685" s="216"/>
      <c r="T685" s="1450"/>
      <c r="U685" s="1450"/>
      <c r="V685" s="1450"/>
      <c r="W685" s="216"/>
      <c r="X685" s="1283">
        <f>IF(SUM(X679:Z684)=0,$T$679,SUM(X679:Z684))</f>
        <v>0.25</v>
      </c>
      <c r="Y685" s="1283"/>
      <c r="Z685" s="1283"/>
      <c r="AA685" s="217"/>
      <c r="AB685" s="1283">
        <f>IF(SUM(AB679:AD684)=0,$T$679,SUM(AB679:AD684))</f>
        <v>0.25</v>
      </c>
      <c r="AC685" s="1283"/>
      <c r="AD685" s="1283"/>
      <c r="AE685" s="217"/>
      <c r="AF685" s="1283">
        <f>IF(SUM(AF679:AH684)=0,$T$679,SUM(AF679:AH684))</f>
        <v>0.25</v>
      </c>
      <c r="AG685" s="1283"/>
      <c r="AH685" s="1283"/>
      <c r="AI685" s="217"/>
      <c r="AJ685" s="1283">
        <f>IF(SUM(AJ679:AL684)=0,$T$679,SUM(AJ679:AL684))</f>
        <v>0.25</v>
      </c>
      <c r="AK685" s="1283"/>
      <c r="AL685" s="1283"/>
      <c r="AM685" s="62"/>
      <c r="AN685" s="1392">
        <f>MIN(X685:AL685)</f>
        <v>0.25</v>
      </c>
      <c r="AO685" s="1393"/>
      <c r="AP685" s="1393"/>
      <c r="AQ685" s="320"/>
      <c r="AR685" s="320"/>
      <c r="AS685" s="202"/>
      <c r="AT685" s="202"/>
      <c r="AU685" s="192"/>
      <c r="AV685" s="1283">
        <f>IF(SUM(AV679:AX684)=0,$T$679,SUM(AV679:AX684))</f>
        <v>0.25</v>
      </c>
      <c r="AW685" s="1283"/>
      <c r="AX685" s="1283"/>
      <c r="AY685" s="217"/>
      <c r="AZ685" s="1283">
        <f>IF(SUM(AZ679:BB684)=0,$T$679,SUM(AZ679:BB684))</f>
        <v>0.25</v>
      </c>
      <c r="BA685" s="1283"/>
      <c r="BB685" s="1283"/>
      <c r="BC685" s="217"/>
      <c r="BD685" s="1283">
        <f>IF(SUM(BD679:BF684)=0,$T$679,SUM(BD679:BF684))</f>
        <v>0.25</v>
      </c>
      <c r="BE685" s="1283"/>
      <c r="BF685" s="1283"/>
      <c r="BG685" s="217"/>
      <c r="BH685" s="1283">
        <f>IF(SUM(BH679:BJ684)=0,$T$679,SUM(BH679:BJ684))</f>
        <v>0.25</v>
      </c>
      <c r="BI685" s="1283"/>
      <c r="BJ685" s="1283"/>
      <c r="BK685" s="62"/>
      <c r="BL685" s="1392">
        <f>MIN(AV685:BJ685)</f>
        <v>0.25</v>
      </c>
      <c r="BM685" s="1393"/>
      <c r="BN685" s="1393"/>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26" t="str">
        <f>X674</f>
        <v>Compressore 1</v>
      </c>
      <c r="Y692" s="1326"/>
      <c r="Z692" s="1326"/>
      <c r="AA692" s="209"/>
      <c r="AB692" s="1326" t="str">
        <f>AB674</f>
        <v>Compressore 2</v>
      </c>
      <c r="AC692" s="1326"/>
      <c r="AD692" s="1326"/>
      <c r="AE692" s="209"/>
      <c r="AF692" s="1326" t="str">
        <f>AF674</f>
        <v>Compressore 3</v>
      </c>
      <c r="AG692" s="1326"/>
      <c r="AH692" s="1326"/>
      <c r="AI692" s="209"/>
      <c r="AJ692" s="1326" t="str">
        <f>AJ674</f>
        <v>Compressore 4</v>
      </c>
      <c r="AK692" s="1326"/>
      <c r="AL692" s="1326"/>
      <c r="AM692" s="210"/>
      <c r="AN692" s="1327" t="s">
        <v>100</v>
      </c>
      <c r="AO692" s="1327"/>
      <c r="AP692" s="1327"/>
      <c r="AQ692" s="327"/>
      <c r="AR692" s="327"/>
      <c r="AS692"/>
      <c r="AT692"/>
      <c r="AU692"/>
      <c r="AV692" s="1326" t="str">
        <f>AV674</f>
        <v>Compressore 1</v>
      </c>
      <c r="AW692" s="1326"/>
      <c r="AX692" s="1326"/>
      <c r="AY692" s="209"/>
      <c r="AZ692" s="1326" t="str">
        <f>AZ674</f>
        <v>Compressore 2</v>
      </c>
      <c r="BA692" s="1326"/>
      <c r="BB692" s="1326"/>
      <c r="BC692" s="209"/>
      <c r="BD692" s="1326" t="str">
        <f>BD674</f>
        <v>Compressore 3</v>
      </c>
      <c r="BE692" s="1326"/>
      <c r="BF692" s="1326"/>
      <c r="BG692" s="209"/>
      <c r="BH692" s="1326" t="str">
        <f>BH674</f>
        <v>Compressore 4</v>
      </c>
      <c r="BI692" s="1326"/>
      <c r="BJ692" s="1326"/>
      <c r="BK692" s="210"/>
      <c r="BL692" s="1327" t="s">
        <v>100</v>
      </c>
      <c r="BM692" s="1327"/>
      <c r="BN692" s="1327"/>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284">
        <f>X675</f>
        <v>0</v>
      </c>
      <c r="Y693" s="1284"/>
      <c r="Z693" s="1284"/>
      <c r="AA693"/>
      <c r="AB693" s="1284">
        <f>AB675</f>
        <v>0</v>
      </c>
      <c r="AC693" s="1284"/>
      <c r="AD693" s="1284"/>
      <c r="AE693"/>
      <c r="AF693" s="1284">
        <f>AF675</f>
        <v>0</v>
      </c>
      <c r="AG693" s="1284"/>
      <c r="AH693" s="1284"/>
      <c r="AI693"/>
      <c r="AJ693" s="1284">
        <f>AJ675</f>
        <v>0</v>
      </c>
      <c r="AK693" s="1284"/>
      <c r="AL693" s="1284"/>
      <c r="AM693"/>
      <c r="AN693" s="1284"/>
      <c r="AO693" s="1284"/>
      <c r="AP693" s="1284"/>
      <c r="AQ693" s="211"/>
      <c r="AR693" s="211"/>
      <c r="AS693"/>
      <c r="AT693"/>
      <c r="AU693"/>
      <c r="AV693" s="1284">
        <f>AV675</f>
        <v>0</v>
      </c>
      <c r="AW693" s="1284"/>
      <c r="AX693" s="1284"/>
      <c r="AY693"/>
      <c r="AZ693" s="1284">
        <f>AZ675</f>
        <v>0</v>
      </c>
      <c r="BA693" s="1284"/>
      <c r="BB693" s="1284"/>
      <c r="BC693"/>
      <c r="BD693" s="1284">
        <f>BD675</f>
        <v>0</v>
      </c>
      <c r="BE693" s="1284"/>
      <c r="BF693" s="1284"/>
      <c r="BG693"/>
      <c r="BH693" s="1284">
        <f>BH675</f>
        <v>0</v>
      </c>
      <c r="BI693" s="1284"/>
      <c r="BJ693" s="1284"/>
      <c r="BK693"/>
      <c r="BL693" s="1284"/>
      <c r="BM693" s="1284"/>
      <c r="BN693" s="1284"/>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Convertitore di frequenza</v>
      </c>
      <c r="J697" s="191"/>
      <c r="K697" s="191"/>
      <c r="L697" s="191"/>
      <c r="M697" s="191"/>
      <c r="N697" s="191"/>
      <c r="O697" s="191"/>
      <c r="P697" s="191"/>
      <c r="Q697" s="191"/>
      <c r="R697" s="191"/>
      <c r="S697" s="191"/>
      <c r="T697" s="1449"/>
      <c r="U697" s="1449"/>
      <c r="V697" s="1449"/>
      <c r="W697"/>
      <c r="X697" s="1282">
        <f>IF($I697=X$693,X69,0)</f>
        <v>0</v>
      </c>
      <c r="Y697" s="1282"/>
      <c r="Z697" s="1282"/>
      <c r="AA697" s="218"/>
      <c r="AB697" s="1282">
        <f>IF($I697=AB$693,X71,0)</f>
        <v>0</v>
      </c>
      <c r="AC697" s="1282"/>
      <c r="AD697" s="1282"/>
      <c r="AE697" s="218"/>
      <c r="AF697" s="1282">
        <f>IF($I697=AF$693,X73,0)</f>
        <v>0</v>
      </c>
      <c r="AG697" s="1282"/>
      <c r="AH697" s="1282"/>
      <c r="AI697" s="218"/>
      <c r="AJ697" s="1282">
        <f>IF($I697=AJ$693,X75,0)</f>
        <v>0</v>
      </c>
      <c r="AK697" s="1282"/>
      <c r="AL697" s="1282"/>
      <c r="AM697" s="219"/>
      <c r="AN697" s="1445"/>
      <c r="AO697" s="1445"/>
      <c r="AP697" s="1445"/>
      <c r="AQ697" s="337"/>
      <c r="AR697" s="337"/>
      <c r="AS697" s="192"/>
      <c r="AT697" s="192"/>
      <c r="AU697" s="192"/>
      <c r="AV697" s="1394">
        <f>IF($I697=AV$693,AV69,0)</f>
        <v>0</v>
      </c>
      <c r="AW697" s="1394"/>
      <c r="AX697" s="1394"/>
      <c r="AY697" s="220"/>
      <c r="AZ697" s="1394">
        <f>IF($I697=AZ$693,AV71,0)</f>
        <v>0</v>
      </c>
      <c r="BA697" s="1394"/>
      <c r="BB697" s="1394"/>
      <c r="BC697" s="220"/>
      <c r="BD697" s="1394">
        <f>IF($I697=BD$693,AV73,0)</f>
        <v>0</v>
      </c>
      <c r="BE697" s="1394"/>
      <c r="BF697" s="1394"/>
      <c r="BG697" s="220"/>
      <c r="BH697" s="1394">
        <f>IF($I697=BH$693,AV75,0)</f>
        <v>0</v>
      </c>
      <c r="BI697" s="1394"/>
      <c r="BJ697" s="1394"/>
      <c r="BK697" s="221"/>
      <c r="BL697" s="1445"/>
      <c r="BM697" s="1445"/>
      <c r="BN697" s="1445"/>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Convertitore di frequenza (con polmone)</v>
      </c>
      <c r="J698" s="191"/>
      <c r="K698" s="191"/>
      <c r="L698" s="191"/>
      <c r="M698" s="191"/>
      <c r="N698" s="191"/>
      <c r="O698" s="191"/>
      <c r="P698" s="191"/>
      <c r="Q698" s="191"/>
      <c r="R698" s="191"/>
      <c r="S698" s="191"/>
      <c r="T698" s="191"/>
      <c r="U698" s="191"/>
      <c r="V698" s="191"/>
      <c r="W698"/>
      <c r="X698" s="1282">
        <f>IF($I698=X$693,X69,0)</f>
        <v>0</v>
      </c>
      <c r="Y698" s="1282"/>
      <c r="Z698" s="1282"/>
      <c r="AA698" s="218"/>
      <c r="AB698" s="1282">
        <f>IF($I698=AB$693,X679,0)</f>
        <v>0</v>
      </c>
      <c r="AC698" s="1282"/>
      <c r="AD698" s="1282"/>
      <c r="AE698" s="218"/>
      <c r="AF698" s="1282">
        <f>IF($I698=AF$693,X73,0)</f>
        <v>0</v>
      </c>
      <c r="AG698" s="1282"/>
      <c r="AH698" s="1282"/>
      <c r="AI698" s="218"/>
      <c r="AJ698" s="1282">
        <f>IF($I698=AJ$693,X75,0)</f>
        <v>0</v>
      </c>
      <c r="AK698" s="1282"/>
      <c r="AL698" s="1282"/>
      <c r="AM698" s="219"/>
      <c r="AN698" s="1445"/>
      <c r="AO698" s="1445"/>
      <c r="AP698" s="1445"/>
      <c r="AQ698" s="337"/>
      <c r="AR698" s="337"/>
      <c r="AS698" s="192"/>
      <c r="AT698" s="192"/>
      <c r="AU698" s="192"/>
      <c r="AV698" s="1394">
        <f>IF($I698=AV$693,AV69,0)</f>
        <v>0</v>
      </c>
      <c r="AW698" s="1394"/>
      <c r="AX698" s="1394"/>
      <c r="AY698" s="220"/>
      <c r="AZ698" s="1394">
        <f>IF($I698=AZ$693,AV679,0)</f>
        <v>0</v>
      </c>
      <c r="BA698" s="1394"/>
      <c r="BB698" s="1394"/>
      <c r="BC698" s="220"/>
      <c r="BD698" s="1394">
        <f>IF($I698=BD$693,AV73,0)</f>
        <v>0</v>
      </c>
      <c r="BE698" s="1394"/>
      <c r="BF698" s="1394"/>
      <c r="BG698" s="220"/>
      <c r="BH698" s="1394">
        <f>IF($I698=BH$693,AV75,0)</f>
        <v>0</v>
      </c>
      <c r="BI698" s="1394"/>
      <c r="BJ698" s="1394"/>
      <c r="BK698" s="221"/>
      <c r="BL698" s="1445"/>
      <c r="BM698" s="1445"/>
      <c r="BN698" s="1445"/>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39">
        <f>SUM(X697:Z698)</f>
        <v>0</v>
      </c>
      <c r="Y699" s="1439"/>
      <c r="Z699" s="1439"/>
      <c r="AA699" s="224"/>
      <c r="AB699" s="1439">
        <f>SUM(AB697:AD698)</f>
        <v>0</v>
      </c>
      <c r="AC699" s="1439"/>
      <c r="AD699" s="1439"/>
      <c r="AE699" s="224"/>
      <c r="AF699" s="1439">
        <f>SUM(AF697:AH698)</f>
        <v>0</v>
      </c>
      <c r="AG699" s="1439"/>
      <c r="AH699" s="1439"/>
      <c r="AI699" s="224"/>
      <c r="AJ699" s="1439">
        <f>SUM(AJ697:AL698)</f>
        <v>0</v>
      </c>
      <c r="AK699" s="1439"/>
      <c r="AL699" s="1439"/>
      <c r="AM699" s="225"/>
      <c r="AN699" s="1398">
        <f>X699+AB699+AF699+AJ699</f>
        <v>0</v>
      </c>
      <c r="AO699" s="1398"/>
      <c r="AP699" s="1398"/>
      <c r="AQ699" s="338"/>
      <c r="AR699" s="338"/>
      <c r="AS699" s="226"/>
      <c r="AT699" s="226"/>
      <c r="AU699" s="226"/>
      <c r="AV699" s="1325">
        <f>SUM(AV697:AX698)</f>
        <v>0</v>
      </c>
      <c r="AW699" s="1325"/>
      <c r="AX699" s="1325"/>
      <c r="AY699" s="227"/>
      <c r="AZ699" s="1325">
        <f>SUM(AZ697:BB698)</f>
        <v>0</v>
      </c>
      <c r="BA699" s="1325"/>
      <c r="BB699" s="1325"/>
      <c r="BC699" s="227"/>
      <c r="BD699" s="1325">
        <f>SUM(BD697:BF698)</f>
        <v>0</v>
      </c>
      <c r="BE699" s="1325"/>
      <c r="BF699" s="1325"/>
      <c r="BG699" s="227"/>
      <c r="BH699" s="1325">
        <f>SUM(BH697:BJ698)</f>
        <v>0</v>
      </c>
      <c r="BI699" s="1325"/>
      <c r="BJ699" s="1325"/>
      <c r="BK699" s="228"/>
      <c r="BL699" s="1398">
        <f>AV699+AZ699+BD699+BH699</f>
        <v>0</v>
      </c>
      <c r="BM699" s="1398"/>
      <c r="BN699" s="1398"/>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40">
        <f>IF(X699=$AN700,X699,0)</f>
        <v>0</v>
      </c>
      <c r="Y700" s="1440"/>
      <c r="Z700" s="1440"/>
      <c r="AA700" s="231"/>
      <c r="AB700" s="1440">
        <f>IF($X700&gt;0,0,IF(AB699=$AN700,AB699,0))</f>
        <v>0</v>
      </c>
      <c r="AC700" s="1440"/>
      <c r="AD700" s="1440"/>
      <c r="AE700" s="231"/>
      <c r="AF700" s="1440">
        <f>IF($X700&gt;0,0,IF(AF699=$AN700,AF699,0))</f>
        <v>0</v>
      </c>
      <c r="AG700" s="1440"/>
      <c r="AH700" s="1440"/>
      <c r="AI700" s="231"/>
      <c r="AJ700" s="1440">
        <f>IF($X700&gt;0,0,IF(AJ699=$AN700,AJ699,0))</f>
        <v>0</v>
      </c>
      <c r="AK700" s="1440"/>
      <c r="AL700" s="1440"/>
      <c r="AM700" s="219"/>
      <c r="AN700" s="1446">
        <f>MAX(X699:AL699)</f>
        <v>0</v>
      </c>
      <c r="AO700" s="1446"/>
      <c r="AP700" s="1446"/>
      <c r="AQ700" s="339"/>
      <c r="AR700" s="339"/>
      <c r="AS700" s="226"/>
      <c r="AT700" s="226"/>
      <c r="AU700" s="226"/>
      <c r="AV700" s="1442">
        <f>IF(AV699=$BL700,AV699,0)</f>
        <v>0</v>
      </c>
      <c r="AW700" s="1442"/>
      <c r="AX700" s="1442"/>
      <c r="AY700" s="232"/>
      <c r="AZ700" s="1442">
        <f>IF($AV700&gt;0,0,IF(AZ699=$BL700,AZ699,0))</f>
        <v>0</v>
      </c>
      <c r="BA700" s="1442"/>
      <c r="BB700" s="1442"/>
      <c r="BC700" s="232"/>
      <c r="BD700" s="1442">
        <f>IF($AV700&gt;0,0,IF(BD699=$BL700,BD699,0))</f>
        <v>0</v>
      </c>
      <c r="BE700" s="1442"/>
      <c r="BF700" s="1442"/>
      <c r="BG700" s="232"/>
      <c r="BH700" s="1442">
        <f>IF($AV700&gt;0,0,IF(BH699=$BL700,BH699,0))</f>
        <v>0</v>
      </c>
      <c r="BI700" s="1442"/>
      <c r="BJ700" s="1442"/>
      <c r="BK700" s="233"/>
      <c r="BL700" s="1446">
        <f>MAX(AV699:BJ699)</f>
        <v>0</v>
      </c>
      <c r="BM700" s="1446"/>
      <c r="BN700" s="1446"/>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40"/>
      <c r="Y701" s="1440"/>
      <c r="Z701" s="1440"/>
      <c r="AA701" s="235"/>
      <c r="AB701" s="1440"/>
      <c r="AC701" s="1440"/>
      <c r="AD701" s="1440"/>
      <c r="AE701" s="235"/>
      <c r="AF701" s="1440"/>
      <c r="AG701" s="1440"/>
      <c r="AH701" s="1440"/>
      <c r="AI701" s="235"/>
      <c r="AJ701" s="1440"/>
      <c r="AK701" s="1440"/>
      <c r="AL701" s="1440"/>
      <c r="AM701" s="236"/>
      <c r="AN701" s="1441">
        <f>IF(X63=4,(X69+X71+X73+X75),IF(X63=3,(X69+X71+X73),IF(X63=2,(X69+X71),X69)))</f>
        <v>0</v>
      </c>
      <c r="AO701" s="1441"/>
      <c r="AP701" s="1441"/>
      <c r="AQ701" s="339"/>
      <c r="AR701" s="339"/>
      <c r="AS701" s="226"/>
      <c r="AT701" s="226"/>
      <c r="AU701" s="226"/>
      <c r="AV701" s="1442"/>
      <c r="AW701" s="1442"/>
      <c r="AX701" s="1442"/>
      <c r="AY701" s="237"/>
      <c r="AZ701" s="1442"/>
      <c r="BA701" s="1442"/>
      <c r="BB701" s="1442"/>
      <c r="BC701" s="237"/>
      <c r="BD701" s="1442"/>
      <c r="BE701" s="1442"/>
      <c r="BF701" s="1442"/>
      <c r="BG701" s="237"/>
      <c r="BH701" s="1442"/>
      <c r="BI701" s="1442"/>
      <c r="BJ701" s="1442"/>
      <c r="BK701" s="238"/>
      <c r="BL701" s="1441">
        <f>IF(AV63=4,(AV69+AV71+AV73+AV75),IF(AV63=3,(AV69+AV71+AV73),IF(AV63=2,(AV69+AV71),AV69)))</f>
        <v>0</v>
      </c>
      <c r="BM701" s="1441"/>
      <c r="BN701" s="1441"/>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38">
        <f>IF($AN701=0,0,X699/$AN701)</f>
        <v>0</v>
      </c>
      <c r="Y702" s="1438"/>
      <c r="Z702" s="1438"/>
      <c r="AA702" s="235"/>
      <c r="AB702" s="1438">
        <f>IF($AN701=0,0,AB699/$AN701)</f>
        <v>0</v>
      </c>
      <c r="AC702" s="1438"/>
      <c r="AD702" s="1438"/>
      <c r="AE702" s="235"/>
      <c r="AF702" s="1438">
        <f>IF($AN701=0,0,AF699/$AN701)</f>
        <v>0</v>
      </c>
      <c r="AG702" s="1438"/>
      <c r="AH702" s="1438"/>
      <c r="AI702" s="235"/>
      <c r="AJ702" s="1438">
        <f>IF($AN701=0,0,AJ699/$AN701)</f>
        <v>0</v>
      </c>
      <c r="AK702" s="1438"/>
      <c r="AL702" s="1438"/>
      <c r="AM702" s="236"/>
      <c r="AN702" s="1438">
        <f>IF($AN701=0,0,AN699/$AN701)</f>
        <v>0</v>
      </c>
      <c r="AO702" s="1438"/>
      <c r="AP702" s="1438"/>
      <c r="AQ702" s="340"/>
      <c r="AR702" s="340"/>
      <c r="AS702" s="226"/>
      <c r="AT702" s="226"/>
      <c r="AU702" s="226"/>
      <c r="AV702" s="1396">
        <f>IF($BL701=0,0,AV699/$BL701)</f>
        <v>0</v>
      </c>
      <c r="AW702" s="1396"/>
      <c r="AX702" s="1396"/>
      <c r="AY702" s="237"/>
      <c r="AZ702" s="1396">
        <f>IF($BL701=0,0,AZ699/$BL701)</f>
        <v>0</v>
      </c>
      <c r="BA702" s="1396"/>
      <c r="BB702" s="1396"/>
      <c r="BC702" s="237"/>
      <c r="BD702" s="1396">
        <f>IF($BL701=0,0,BD699/$BL701)</f>
        <v>0</v>
      </c>
      <c r="BE702" s="1396"/>
      <c r="BF702" s="1396"/>
      <c r="BG702" s="237"/>
      <c r="BH702" s="1396">
        <f>IF($BL701=0,0,BH699/$BL701)</f>
        <v>0</v>
      </c>
      <c r="BI702" s="1396"/>
      <c r="BJ702" s="1396"/>
      <c r="BK702" s="238"/>
      <c r="BL702" s="1396">
        <f>IF($BL701=0,0,BL699/$BL701)</f>
        <v>0</v>
      </c>
      <c r="BM702" s="1396"/>
      <c r="BN702" s="1396"/>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48">
        <v>0.08</v>
      </c>
      <c r="U704" s="1448"/>
      <c r="V704" s="1448"/>
      <c r="W704"/>
      <c r="X704" s="1438">
        <f>IF(X700&gt;0,$T704,0)</f>
        <v>0</v>
      </c>
      <c r="Y704" s="1438"/>
      <c r="Z704" s="1438"/>
      <c r="AA704" s="235"/>
      <c r="AB704" s="1438">
        <f>IF(AB700&gt;0,$T704,0)</f>
        <v>0</v>
      </c>
      <c r="AC704" s="1438"/>
      <c r="AD704" s="1438"/>
      <c r="AE704" s="235"/>
      <c r="AF704" s="1438">
        <f>IF(AF700&gt;0,$T704,0)</f>
        <v>0</v>
      </c>
      <c r="AG704" s="1438"/>
      <c r="AH704" s="1438"/>
      <c r="AI704" s="235"/>
      <c r="AJ704" s="1438">
        <f>IF(AJ700&gt;0,$T704,0)</f>
        <v>0</v>
      </c>
      <c r="AK704" s="1438"/>
      <c r="AL704" s="1438"/>
      <c r="AM704" s="236"/>
      <c r="AN704" s="1397"/>
      <c r="AO704" s="1397"/>
      <c r="AP704" s="1397"/>
      <c r="AQ704" s="341"/>
      <c r="AR704" s="341"/>
      <c r="AS704" s="226"/>
      <c r="AT704" s="226"/>
      <c r="AU704" s="226"/>
      <c r="AV704" s="1396">
        <f>IF(AV700&gt;0,$T704,0)</f>
        <v>0</v>
      </c>
      <c r="AW704" s="1396"/>
      <c r="AX704" s="1396"/>
      <c r="AY704" s="237"/>
      <c r="AZ704" s="1396">
        <f>IF(AZ700&gt;0,$T704,0)</f>
        <v>0</v>
      </c>
      <c r="BA704" s="1396"/>
      <c r="BB704" s="1396"/>
      <c r="BC704" s="237"/>
      <c r="BD704" s="1396">
        <f>IF(BD700&gt;0,$T704,0)</f>
        <v>0</v>
      </c>
      <c r="BE704" s="1396"/>
      <c r="BF704" s="1396"/>
      <c r="BG704" s="237"/>
      <c r="BH704" s="1396">
        <f>IF(BH700&gt;0,$T704,0)</f>
        <v>0</v>
      </c>
      <c r="BI704" s="1396"/>
      <c r="BJ704" s="1396"/>
      <c r="BK704" s="238"/>
      <c r="BL704" s="1397"/>
      <c r="BM704" s="1397"/>
      <c r="BN704" s="1397"/>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508"/>
      <c r="U705" s="1508"/>
      <c r="V705" s="1508"/>
      <c r="W705"/>
      <c r="X705" s="1447">
        <f>X702*X704</f>
        <v>0</v>
      </c>
      <c r="Y705" s="1447"/>
      <c r="Z705" s="1447"/>
      <c r="AA705" s="235"/>
      <c r="AB705" s="1447">
        <f>AB702*AB704</f>
        <v>0</v>
      </c>
      <c r="AC705" s="1447"/>
      <c r="AD705" s="1447"/>
      <c r="AE705" s="235"/>
      <c r="AF705" s="1447">
        <f>AF702*AF704</f>
        <v>0</v>
      </c>
      <c r="AG705" s="1447"/>
      <c r="AH705" s="1447"/>
      <c r="AI705" s="235"/>
      <c r="AJ705" s="1447">
        <f>AJ702*AJ704</f>
        <v>0</v>
      </c>
      <c r="AK705" s="1447"/>
      <c r="AL705" s="1447"/>
      <c r="AM705" s="236"/>
      <c r="AN705" s="1444">
        <f>SUM(X705:AL705)</f>
        <v>0</v>
      </c>
      <c r="AO705" s="1444"/>
      <c r="AP705" s="1444"/>
      <c r="AQ705" s="342"/>
      <c r="AR705" s="342"/>
      <c r="AS705" s="226"/>
      <c r="AT705" s="226"/>
      <c r="AU705" s="226"/>
      <c r="AV705" s="1395">
        <f>AV702*AV704</f>
        <v>0</v>
      </c>
      <c r="AW705" s="1395"/>
      <c r="AX705" s="1395"/>
      <c r="AY705" s="237"/>
      <c r="AZ705" s="1395">
        <f>AZ702*AZ704</f>
        <v>0</v>
      </c>
      <c r="BA705" s="1395"/>
      <c r="BB705" s="1395"/>
      <c r="BC705" s="237"/>
      <c r="BD705" s="1395">
        <f>BD702*BD704</f>
        <v>0</v>
      </c>
      <c r="BE705" s="1395"/>
      <c r="BF705" s="1395"/>
      <c r="BG705" s="237"/>
      <c r="BH705" s="1395">
        <f>BH702*BH704</f>
        <v>0</v>
      </c>
      <c r="BI705" s="1395"/>
      <c r="BJ705" s="1395"/>
      <c r="BK705" s="238"/>
      <c r="BL705" s="1444">
        <f>SUM(AV705:BJ705)</f>
        <v>0</v>
      </c>
      <c r="BM705" s="1444"/>
      <c r="BN705" s="1444"/>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485">
        <v>-0.05</v>
      </c>
      <c r="J713" s="1485"/>
      <c r="K713" s="1485"/>
      <c r="L713" s="242"/>
      <c r="M713" s="1485">
        <f>I714</f>
        <v>-0.2</v>
      </c>
      <c r="N713" s="1485"/>
      <c r="O713" s="1485"/>
      <c r="P713" s="243"/>
      <c r="Q713" s="243"/>
      <c r="R713" s="243"/>
      <c r="S713" s="243"/>
      <c r="T713" s="243"/>
      <c r="U713" s="243"/>
      <c r="V713" s="243"/>
      <c r="W713" s="243"/>
      <c r="X713" s="1506" t="str">
        <f>X!$C$279</f>
        <v xml:space="preserve">Il progettista ha calcolato meno ore di esercizio a pieno regime rispetto ai valori standard previsti per questo uso. Quindi il consumo energetico stimato è inferiore. </v>
      </c>
      <c r="Y713" s="1507"/>
      <c r="Z713" s="1507"/>
      <c r="AA713" s="1507"/>
      <c r="AB713" s="1507"/>
      <c r="AC713" s="1507"/>
      <c r="AD713" s="1507"/>
      <c r="AE713" s="1507"/>
      <c r="AF713" s="1507"/>
      <c r="AG713" s="1507"/>
      <c r="AH713" s="1507"/>
      <c r="AI713" s="1507"/>
      <c r="AJ713" s="1507"/>
      <c r="AK713" s="1507"/>
      <c r="AL713" s="1507"/>
      <c r="AM713" s="1507"/>
      <c r="AN713" s="1507"/>
      <c r="AO713" s="1507"/>
      <c r="AP713" s="1507"/>
      <c r="AQ713" s="328"/>
      <c r="AR713" s="328"/>
      <c r="AS713" s="244"/>
      <c r="AT713" s="244"/>
      <c r="AU713" s="244"/>
      <c r="AV713" s="1487" t="str">
        <f>X!$C$281</f>
        <v>Chiarire con il progettista perché ha scelto queste ore a pieno regime.</v>
      </c>
      <c r="AW713" s="1488"/>
      <c r="AX713" s="1488"/>
      <c r="AY713" s="1488"/>
      <c r="AZ713" s="1488"/>
      <c r="BA713" s="1488"/>
      <c r="BB713" s="1488"/>
      <c r="BC713" s="1488"/>
      <c r="BD713" s="1488"/>
      <c r="BE713" s="1488"/>
      <c r="BF713" s="1488"/>
      <c r="BG713" s="1488"/>
      <c r="BH713" s="1488"/>
      <c r="BI713" s="1488"/>
      <c r="BJ713" s="1488"/>
      <c r="BK713" s="1488"/>
      <c r="BL713" s="1488"/>
      <c r="BM713" s="1488"/>
      <c r="BN713" s="1488"/>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485">
        <v>-0.2</v>
      </c>
      <c r="J714" s="1485"/>
      <c r="K714" s="1485"/>
      <c r="L714" s="242"/>
      <c r="M714" s="1485"/>
      <c r="N714" s="1485"/>
      <c r="O714" s="1485"/>
      <c r="P714" s="243"/>
      <c r="Q714" s="243"/>
      <c r="R714" s="243"/>
      <c r="S714" s="243"/>
      <c r="T714" s="243"/>
      <c r="U714" s="243"/>
      <c r="V714" s="243"/>
      <c r="W714" s="243"/>
      <c r="X714" s="1487" t="str">
        <f>X!$C$280</f>
        <v>Il progettista ha calcolato molte meno ore di esercizio a pieno regime rispetto ai valori standard previsti per questo uso. Quindi il consumo energetico stimato è inferiore.</v>
      </c>
      <c r="Y714" s="1488"/>
      <c r="Z714" s="1488"/>
      <c r="AA714" s="1488"/>
      <c r="AB714" s="1488"/>
      <c r="AC714" s="1488"/>
      <c r="AD714" s="1488"/>
      <c r="AE714" s="1488"/>
      <c r="AF714" s="1488"/>
      <c r="AG714" s="1488"/>
      <c r="AH714" s="1488"/>
      <c r="AI714" s="1488"/>
      <c r="AJ714" s="1488"/>
      <c r="AK714" s="1488"/>
      <c r="AL714" s="1488"/>
      <c r="AM714" s="1488"/>
      <c r="AN714" s="1488"/>
      <c r="AO714" s="1488"/>
      <c r="AP714" s="1488"/>
      <c r="AQ714" s="328"/>
      <c r="AR714" s="328"/>
      <c r="AS714" s="244"/>
      <c r="AT714" s="244"/>
      <c r="AU714" s="244"/>
      <c r="AV714" s="1487" t="str">
        <f>X!$C$281</f>
        <v>Chiarire con il progettista perché ha scelto queste ore a pieno regime.</v>
      </c>
      <c r="AW714" s="1488"/>
      <c r="AX714" s="1488"/>
      <c r="AY714" s="1488"/>
      <c r="AZ714" s="1488"/>
      <c r="BA714" s="1488"/>
      <c r="BB714" s="1488"/>
      <c r="BC714" s="1488"/>
      <c r="BD714" s="1488"/>
      <c r="BE714" s="1488"/>
      <c r="BF714" s="1488"/>
      <c r="BG714" s="1488"/>
      <c r="BH714" s="1488"/>
      <c r="BI714" s="1488"/>
      <c r="BJ714" s="1488"/>
      <c r="BK714" s="1488"/>
      <c r="BL714" s="1488"/>
      <c r="BM714" s="1488"/>
      <c r="BN714" s="1488"/>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Temperatura condensazione</v>
      </c>
      <c r="J721" s="74"/>
      <c r="K721" s="74"/>
      <c r="L721" s="74"/>
      <c r="M721" s="74"/>
      <c r="N721" s="74"/>
      <c r="O721" s="74"/>
      <c r="P721" s="74"/>
      <c r="Q721" s="74"/>
      <c r="R721" s="74"/>
      <c r="S721" s="74"/>
      <c r="T721" s="74"/>
      <c r="U721" s="95" t="s">
        <v>85</v>
      </c>
      <c r="V721" s="74"/>
      <c r="W721" s="74"/>
      <c r="X721" s="1342" t="str">
        <f>IF(X147="","",X147)</f>
        <v/>
      </c>
      <c r="Y721" s="1342"/>
      <c r="Z721" s="1343"/>
      <c r="AA721" s="132" t="str">
        <f>IF(X721&lt;$M727,"!","")</f>
        <v/>
      </c>
      <c r="AB721" s="1342" t="str">
        <f>IF(AB147="","",AB147)</f>
        <v/>
      </c>
      <c r="AC721" s="1342"/>
      <c r="AD721" s="1343"/>
      <c r="AE721" s="132" t="str">
        <f>IF(AB721&lt;$M727,"!","")</f>
        <v/>
      </c>
      <c r="AF721" s="1342" t="str">
        <f>IF(AF147="","",AF147)</f>
        <v/>
      </c>
      <c r="AG721" s="1342"/>
      <c r="AH721" s="1343"/>
      <c r="AI721" s="132" t="str">
        <f>IF(AF721&lt;$M727,"!","")</f>
        <v/>
      </c>
      <c r="AJ721" s="1342" t="str">
        <f>IF(AJ147="","",AJ147)</f>
        <v/>
      </c>
      <c r="AK721" s="1342"/>
      <c r="AL721" s="1343"/>
      <c r="AM721" s="132" t="str">
        <f>IF(AJ721&lt;$M727,"!","")</f>
        <v/>
      </c>
      <c r="AN721" s="1421" t="str">
        <f>IF(SUM(X721:AL721)&gt;0,MIN(X721:AL721),"-")</f>
        <v>-</v>
      </c>
      <c r="AO721" s="1421"/>
      <c r="AP721" s="1421"/>
      <c r="AQ721" s="152"/>
      <c r="AR721" s="453"/>
      <c r="AS721" s="70"/>
      <c r="AT721" s="70"/>
      <c r="AU721" s="70"/>
      <c r="AV721" s="1342" t="str">
        <f>IF(AV147="","",AV147)</f>
        <v/>
      </c>
      <c r="AW721" s="1342"/>
      <c r="AX721" s="1343"/>
      <c r="AY721" s="132" t="str">
        <f>IF(AV721&lt;$M727,"!","")</f>
        <v/>
      </c>
      <c r="AZ721" s="1342" t="str">
        <f>IF(AZ147="","",AZ147)</f>
        <v/>
      </c>
      <c r="BA721" s="1342"/>
      <c r="BB721" s="1343"/>
      <c r="BC721" s="132" t="str">
        <f>IF(AZ721&lt;$M727,"!","")</f>
        <v/>
      </c>
      <c r="BD721" s="1342" t="str">
        <f>IF(BD147="","",BD147)</f>
        <v/>
      </c>
      <c r="BE721" s="1342"/>
      <c r="BF721" s="1343"/>
      <c r="BG721" s="132" t="str">
        <f>IF(BD721&lt;$M727,"!","")</f>
        <v/>
      </c>
      <c r="BH721" s="1342" t="str">
        <f>IF(BH147="","",BH147)</f>
        <v/>
      </c>
      <c r="BI721" s="1342"/>
      <c r="BJ721" s="1343"/>
      <c r="BK721" s="132" t="str">
        <f>IF(BH721&lt;$M727,"!","")</f>
        <v/>
      </c>
      <c r="BL721" s="1421" t="str">
        <f>IF(SUM(AV721:BJ721)&gt;0,MIN(AV721:BJ721),"-")</f>
        <v>-</v>
      </c>
      <c r="BM721" s="1421"/>
      <c r="BN721" s="1421"/>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408">
        <f>X59</f>
        <v>0</v>
      </c>
      <c r="N723" s="1408"/>
      <c r="O723" s="1408"/>
      <c r="P723" s="74" t="s">
        <v>85</v>
      </c>
      <c r="Q723" s="74"/>
      <c r="R723" s="74" t="s">
        <v>656</v>
      </c>
      <c r="S723" s="74"/>
      <c r="T723" s="74"/>
      <c r="U723" s="74"/>
      <c r="V723" s="74"/>
      <c r="W723" s="74"/>
      <c r="X723" s="1281" t="str">
        <f>IF(AN721&lt;$M727,X727,"")</f>
        <v/>
      </c>
      <c r="Y723" s="1281"/>
      <c r="Z723" s="1281"/>
      <c r="AA723" s="1281"/>
      <c r="AB723" s="1281"/>
      <c r="AC723" s="1281"/>
      <c r="AD723" s="1281"/>
      <c r="AE723" s="1281"/>
      <c r="AF723" s="1281"/>
      <c r="AG723" s="1281"/>
      <c r="AH723" s="1281"/>
      <c r="AI723" s="1281"/>
      <c r="AJ723" s="1281"/>
      <c r="AK723" s="1281"/>
      <c r="AL723" s="1281"/>
      <c r="AM723" s="1281"/>
      <c r="AN723" s="1281"/>
      <c r="AO723" s="1281"/>
      <c r="AP723" s="1281"/>
      <c r="AQ723" s="152"/>
      <c r="AR723" s="453"/>
      <c r="AS723" s="70"/>
      <c r="AT723" s="70"/>
      <c r="AU723" s="70"/>
      <c r="AV723" s="1281" t="str">
        <f>IF(BL721&lt;$M727,AV727,"")</f>
        <v/>
      </c>
      <c r="AW723" s="1281"/>
      <c r="AX723" s="1281"/>
      <c r="AY723" s="1281"/>
      <c r="AZ723" s="1281"/>
      <c r="BA723" s="1281"/>
      <c r="BB723" s="1281"/>
      <c r="BC723" s="1281"/>
      <c r="BD723" s="1281"/>
      <c r="BE723" s="1281"/>
      <c r="BF723" s="1281"/>
      <c r="BG723" s="1281"/>
      <c r="BH723" s="1281"/>
      <c r="BI723" s="1281"/>
      <c r="BJ723" s="1281"/>
      <c r="BK723" s="1281"/>
      <c r="BL723" s="1281"/>
      <c r="BM723" s="1281"/>
      <c r="BN723" s="1281"/>
      <c r="BQ723" s="201"/>
    </row>
    <row r="724" spans="5:124" ht="15" hidden="1" customHeight="1" outlineLevel="1" x14ac:dyDescent="0.15">
      <c r="H724" s="347"/>
      <c r="I724" s="391" t="s">
        <v>653</v>
      </c>
      <c r="J724" s="74"/>
      <c r="K724" s="74"/>
      <c r="L724" s="74"/>
      <c r="M724" s="1407">
        <v>20</v>
      </c>
      <c r="N724" s="1407"/>
      <c r="O724" s="1407"/>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407">
        <v>25</v>
      </c>
      <c r="N725" s="1407"/>
      <c r="O725" s="1407"/>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485" t="s">
        <v>618</v>
      </c>
      <c r="J727" s="1485"/>
      <c r="K727" s="1485"/>
      <c r="L727" s="242"/>
      <c r="M727" s="1505">
        <f>IF(M723=0,M725,M723-M724)</f>
        <v>25</v>
      </c>
      <c r="N727" s="1505"/>
      <c r="O727" s="1505"/>
      <c r="P727" s="243" t="s">
        <v>85</v>
      </c>
      <c r="Q727" s="243"/>
      <c r="R727" s="243" t="s">
        <v>647</v>
      </c>
      <c r="S727" s="243"/>
      <c r="T727" s="243"/>
      <c r="U727" s="243"/>
      <c r="V727" s="243"/>
      <c r="W727" s="243"/>
      <c r="X727" s="1506" t="str">
        <f>X!C293</f>
        <v>Scopri se la valvola di espansione in queste condizioni le opere correttamente</v>
      </c>
      <c r="Y727" s="1507"/>
      <c r="Z727" s="1507"/>
      <c r="AA727" s="1507"/>
      <c r="AB727" s="1507"/>
      <c r="AC727" s="1507"/>
      <c r="AD727" s="1507"/>
      <c r="AE727" s="1507"/>
      <c r="AF727" s="1507"/>
      <c r="AG727" s="1507"/>
      <c r="AH727" s="1507"/>
      <c r="AI727" s="1507"/>
      <c r="AJ727" s="1507"/>
      <c r="AK727" s="1507"/>
      <c r="AL727" s="1507"/>
      <c r="AM727" s="1507"/>
      <c r="AN727" s="1507"/>
      <c r="AO727" s="1507"/>
      <c r="AP727" s="1507"/>
      <c r="AQ727" s="328"/>
      <c r="AR727" s="328"/>
      <c r="AS727" s="244"/>
      <c r="AT727" s="244"/>
      <c r="AU727" s="244"/>
      <c r="AV727" s="1506" t="str">
        <f>X727</f>
        <v>Scopri se la valvola di espansione in queste condizioni le opere correttamente</v>
      </c>
      <c r="AW727" s="1507"/>
      <c r="AX727" s="1507"/>
      <c r="AY727" s="1507"/>
      <c r="AZ727" s="1507"/>
      <c r="BA727" s="1507"/>
      <c r="BB727" s="1507"/>
      <c r="BC727" s="1507"/>
      <c r="BD727" s="1507"/>
      <c r="BE727" s="1507"/>
      <c r="BF727" s="1507"/>
      <c r="BG727" s="1507"/>
      <c r="BH727" s="1507"/>
      <c r="BI727" s="1507"/>
      <c r="BJ727" s="1507"/>
      <c r="BK727" s="1507"/>
      <c r="BL727" s="1507"/>
      <c r="BM727" s="1507"/>
      <c r="BN727" s="1507"/>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503">
        <f>X44</f>
        <v>0</v>
      </c>
      <c r="AF736" s="1504"/>
      <c r="AG736" s="1504"/>
      <c r="AH736" s="1504"/>
      <c r="AI736" s="1504"/>
      <c r="AJ736" s="1504"/>
      <c r="AK736" s="1504"/>
      <c r="AL736" s="1504"/>
      <c r="AM736" s="1504"/>
      <c r="AN736" s="1504"/>
      <c r="AO736" s="1504"/>
      <c r="AP736" s="1504"/>
      <c r="AQ736" s="110"/>
      <c r="AR736" s="110"/>
      <c r="AS736" s="110"/>
      <c r="AT736" s="110"/>
      <c r="AU736" s="110"/>
      <c r="AV736" s="1503">
        <f>AE736</f>
        <v>0</v>
      </c>
      <c r="AW736" s="1504"/>
      <c r="AX736" s="1504"/>
      <c r="AY736" s="1504"/>
      <c r="AZ736" s="1504"/>
      <c r="BA736" s="1504"/>
      <c r="BB736" s="1504"/>
      <c r="BC736" s="1504"/>
      <c r="BD736" s="1504"/>
      <c r="BE736" s="1504"/>
      <c r="BF736" s="1504"/>
      <c r="BG736" s="1504"/>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503">
        <f>AB101</f>
        <v>0</v>
      </c>
      <c r="AF737" s="1504"/>
      <c r="AG737" s="1504"/>
      <c r="AH737" s="1504"/>
      <c r="AI737" s="1504"/>
      <c r="AJ737" s="1504"/>
      <c r="AK737" s="1504"/>
      <c r="AL737" s="1504"/>
      <c r="AM737" s="1504"/>
      <c r="AN737" s="1504"/>
      <c r="AO737" s="1504"/>
      <c r="AP737" s="1504"/>
      <c r="AQ737" s="110"/>
      <c r="AR737" s="110"/>
      <c r="AS737" s="110"/>
      <c r="AT737" s="110"/>
      <c r="AU737" s="110"/>
      <c r="AV737" s="1503">
        <f>AZ101</f>
        <v>0</v>
      </c>
      <c r="AW737" s="1504"/>
      <c r="AX737" s="1504"/>
      <c r="AY737" s="1504"/>
      <c r="AZ737" s="1504"/>
      <c r="BA737" s="1504"/>
      <c r="BB737" s="1504"/>
      <c r="BC737" s="1504"/>
      <c r="BD737" s="1504"/>
      <c r="BE737" s="1504"/>
      <c r="BF737" s="1504"/>
      <c r="BG737" s="1504"/>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509">
        <f>X119</f>
        <v>0</v>
      </c>
      <c r="AF738" s="1504"/>
      <c r="AG738" s="1504"/>
      <c r="AH738" s="1504"/>
      <c r="AI738" s="1504"/>
      <c r="AJ738" s="1504"/>
      <c r="AK738" s="1504"/>
      <c r="AL738" s="1504"/>
      <c r="AM738" s="1504"/>
      <c r="AN738" s="1504"/>
      <c r="AO738" s="1504"/>
      <c r="AP738" s="1504"/>
      <c r="AQ738" s="110"/>
      <c r="AR738" s="110"/>
      <c r="AS738" s="110"/>
      <c r="AT738" s="110"/>
      <c r="AU738" s="110"/>
      <c r="AV738" s="1509">
        <f>AV119</f>
        <v>0</v>
      </c>
      <c r="AW738" s="1504"/>
      <c r="AX738" s="1504"/>
      <c r="AY738" s="1504"/>
      <c r="AZ738" s="1504"/>
      <c r="BA738" s="1504"/>
      <c r="BB738" s="1504"/>
      <c r="BC738" s="1504"/>
      <c r="BD738" s="1504"/>
      <c r="BE738" s="1504"/>
      <c r="BF738" s="1504"/>
      <c r="BG738" s="1504"/>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510" t="str">
        <f>X595</f>
        <v>Zurigo</v>
      </c>
      <c r="AF739" s="1511"/>
      <c r="AG739" s="1511"/>
      <c r="AH739" s="1511"/>
      <c r="AI739" s="1511"/>
      <c r="AJ739" s="1511"/>
      <c r="AK739" s="1511"/>
      <c r="AL739" s="1511"/>
      <c r="AM739" s="1511"/>
      <c r="AN739" s="1511"/>
      <c r="AO739" s="1511"/>
      <c r="AP739" s="1511"/>
      <c r="AQ739" s="110"/>
      <c r="AR739" s="110"/>
      <c r="AS739" s="110"/>
      <c r="AT739" s="110"/>
      <c r="AU739" s="110"/>
      <c r="AV739" s="1510" t="str">
        <f>AE739</f>
        <v>Zurigo</v>
      </c>
      <c r="AW739" s="1511"/>
      <c r="AX739" s="1511"/>
      <c r="AY739" s="1511"/>
      <c r="AZ739" s="1511"/>
      <c r="BA739" s="1511"/>
      <c r="BB739" s="1511"/>
      <c r="BC739" s="1511"/>
      <c r="BD739" s="1511"/>
      <c r="BE739" s="1511"/>
      <c r="BF739" s="1511"/>
      <c r="BG739" s="1511"/>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Refrigeratore-climatizzatore (2'000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Refrigeratore-climatizzatore (2'000 h/a)</v>
      </c>
      <c r="J744" s="70"/>
      <c r="K744" s="70"/>
      <c r="L744" s="70"/>
      <c r="M744" s="70"/>
      <c r="N744" s="70"/>
      <c r="BQ744" s="201"/>
    </row>
    <row r="745" spans="5:124" hidden="1" outlineLevel="1" x14ac:dyDescent="0.15">
      <c r="H745" s="482" t="str">
        <f>X$494</f>
        <v>Secco</v>
      </c>
      <c r="R745" s="1273" t="s">
        <v>788</v>
      </c>
      <c r="S745" s="1273"/>
      <c r="T745" s="1273"/>
      <c r="U745" s="1273"/>
      <c r="V745" s="1273"/>
      <c r="W745" s="1273"/>
      <c r="X745" s="1273"/>
      <c r="Y745" s="1273"/>
      <c r="Z745" s="1273"/>
      <c r="AA745" s="1273"/>
      <c r="AE745" s="1273" t="s">
        <v>788</v>
      </c>
      <c r="AF745" s="1273"/>
      <c r="AG745" s="1273"/>
      <c r="AH745" s="1273"/>
      <c r="AI745" s="1273"/>
      <c r="AJ745" s="1273"/>
      <c r="AK745" s="1273"/>
      <c r="AL745" s="1273"/>
      <c r="AM745" s="1273"/>
      <c r="AN745" s="1273"/>
      <c r="AV745" s="1273" t="s">
        <v>788</v>
      </c>
      <c r="AW745" s="1273"/>
      <c r="AX745" s="1273"/>
      <c r="AY745" s="1273"/>
      <c r="AZ745" s="1273"/>
      <c r="BA745" s="1273"/>
      <c r="BB745" s="1273"/>
      <c r="BC745" s="1273"/>
      <c r="BD745" s="1273"/>
      <c r="BE745" s="1273"/>
      <c r="BQ745" s="201"/>
    </row>
    <row r="746" spans="5:124" hidden="1" outlineLevel="1" x14ac:dyDescent="0.15">
      <c r="H746"/>
      <c r="R746" s="1273">
        <v>6</v>
      </c>
      <c r="S746" s="1273"/>
      <c r="T746" s="1273">
        <v>10</v>
      </c>
      <c r="U746" s="1273"/>
      <c r="V746" s="1273">
        <v>14</v>
      </c>
      <c r="W746" s="1273"/>
      <c r="X746" s="1273">
        <v>18</v>
      </c>
      <c r="Y746" s="1273"/>
      <c r="Z746" s="1273">
        <v>22</v>
      </c>
      <c r="AA746" s="1273"/>
      <c r="AE746" s="1273">
        <v>6</v>
      </c>
      <c r="AF746" s="1273"/>
      <c r="AG746" s="1273">
        <v>10</v>
      </c>
      <c r="AH746" s="1273"/>
      <c r="AI746" s="1273">
        <v>14</v>
      </c>
      <c r="AJ746" s="1273"/>
      <c r="AK746" s="1273">
        <v>18</v>
      </c>
      <c r="AL746" s="1273"/>
      <c r="AM746" s="1273">
        <v>22</v>
      </c>
      <c r="AN746" s="1273"/>
      <c r="AO746" s="1274">
        <f>SUM(AE747:AN754)</f>
        <v>0</v>
      </c>
      <c r="AP746" s="1275"/>
      <c r="AV746" s="1273">
        <v>6</v>
      </c>
      <c r="AW746" s="1273"/>
      <c r="AX746" s="1273">
        <v>10</v>
      </c>
      <c r="AY746" s="1273"/>
      <c r="AZ746" s="1273">
        <v>14</v>
      </c>
      <c r="BA746" s="1273"/>
      <c r="BB746" s="1273">
        <v>18</v>
      </c>
      <c r="BC746" s="1273"/>
      <c r="BD746" s="1273">
        <v>22</v>
      </c>
      <c r="BE746" s="1273"/>
      <c r="BF746" s="1274">
        <f>SUM(AV747:BE754)</f>
        <v>0</v>
      </c>
      <c r="BG746" s="1275"/>
      <c r="BQ746" s="201"/>
      <c r="BR746" s="63" t="s">
        <v>1563</v>
      </c>
    </row>
    <row r="747" spans="5:124" hidden="1" outlineLevel="1" x14ac:dyDescent="0.15">
      <c r="H747" s="479" t="str">
        <f>H760</f>
        <v>Basilea</v>
      </c>
      <c r="K747" s="480" t="str">
        <f>H760</f>
        <v>Basilea</v>
      </c>
      <c r="R747" s="1276">
        <v>0</v>
      </c>
      <c r="S747" s="1276"/>
      <c r="T747" s="1276">
        <v>0.01</v>
      </c>
      <c r="U747" s="1276"/>
      <c r="V747" s="1276">
        <v>0.06</v>
      </c>
      <c r="W747" s="1276"/>
      <c r="X747" s="1276">
        <v>0.17</v>
      </c>
      <c r="Y747" s="1276"/>
      <c r="Z747" s="1276">
        <v>0.38</v>
      </c>
      <c r="AA747" s="1276"/>
      <c r="AE747" s="1268">
        <f>IF($AE$736=$H$744,IF($AE$737=$H$745,IF($AE$738=AE$746,IF($AE$739=$K747,R747,0),0),0),0)</f>
        <v>0</v>
      </c>
      <c r="AF747" s="1268"/>
      <c r="AG747" s="1268">
        <f>IF($AE$736=$H$744,IF($AE$737=$H$745,IF($AE$738=AG$746,IF($AE$739=$K747,T747,0),0),0),0)</f>
        <v>0</v>
      </c>
      <c r="AH747" s="1268"/>
      <c r="AI747" s="1268">
        <f>IF($AE$736=$H$744,IF($AE$737=$H$745,IF($AE$738=AI$746,IF($AE$739=$K747,V747,0),0),0),0)</f>
        <v>0</v>
      </c>
      <c r="AJ747" s="1268"/>
      <c r="AK747" s="1268">
        <f>IF($AE$736=$H$744,IF($AE$737=$H$745,IF($AE$738=AK$746,IF($AE$739=$K747,X747,0),0),0),0)</f>
        <v>0</v>
      </c>
      <c r="AL747" s="1268"/>
      <c r="AM747" s="1268">
        <f>IF($AE$736=$H$744,IF($AE$737=$H$745,IF($AE$738=AM$746,IF($AE$739=$K747,Z747,0),0),0),0)</f>
        <v>0</v>
      </c>
      <c r="AN747" s="1268"/>
      <c r="AV747" s="1268">
        <f>IF($AV$736=$H$744,IF($AV$737=$H$745,IF($AV$738=AV$746,IF($AV$739=$K747,R747,0),0),0),0)</f>
        <v>0</v>
      </c>
      <c r="AW747" s="1268"/>
      <c r="AX747" s="1268">
        <f>IF($AV$736=$H$744,IF($AV$737=$H$745,IF($AV$738=AX$746,IF($AV$739=$K747,T747,0),0),0),0)</f>
        <v>0</v>
      </c>
      <c r="AY747" s="1268"/>
      <c r="AZ747" s="1268">
        <f>IF($AV$736=$H$744,IF($AV$737=$H$745,IF($AV$738=AZ$746,IF($AV$739=$K747,V747,0),0),0),0)</f>
        <v>0</v>
      </c>
      <c r="BA747" s="1268"/>
      <c r="BB747" s="1268">
        <f>IF($AV$736=$H$744,IF($AV$737=$H$745,IF($AV$738=BB$746,IF($AV$739=$K747,X747,0),0),0),0)</f>
        <v>0</v>
      </c>
      <c r="BC747" s="1268"/>
      <c r="BD747" s="1268">
        <f>IF($AV$736=$H$744,IF($AV$737=$H$745,IF($AV$738=BD$746,IF($AV$739=$K747,Z747,0),0),0),0)</f>
        <v>0</v>
      </c>
      <c r="BE747" s="1268"/>
      <c r="BQ747" s="201"/>
      <c r="BR747" s="63" t="s">
        <v>1562</v>
      </c>
    </row>
    <row r="748" spans="5:124" hidden="1" outlineLevel="1" x14ac:dyDescent="0.15">
      <c r="H748" s="479" t="str">
        <f t="shared" ref="H748:H754" si="117">H599</f>
        <v>Berna</v>
      </c>
      <c r="K748" s="480" t="str">
        <f t="shared" ref="K748:K754" si="118">H761</f>
        <v>Berna</v>
      </c>
      <c r="R748" s="1276">
        <v>0</v>
      </c>
      <c r="S748" s="1276"/>
      <c r="T748" s="1276">
        <v>0.01</v>
      </c>
      <c r="U748" s="1276"/>
      <c r="V748" s="1276">
        <v>0.05</v>
      </c>
      <c r="W748" s="1276"/>
      <c r="X748" s="1276">
        <v>0.18</v>
      </c>
      <c r="Y748" s="1276"/>
      <c r="Z748" s="1276">
        <v>0.39700000000000002</v>
      </c>
      <c r="AA748" s="1276"/>
      <c r="AE748" s="1268">
        <f t="shared" ref="AE748:AE752" si="119">IF($AE$736=$H$744,IF($AE$737=$H$745,IF($AE$738=AE$746,IF($AE$739=$K748,R748,0),0),0),0)</f>
        <v>0</v>
      </c>
      <c r="AF748" s="1268"/>
      <c r="AG748" s="1268">
        <f t="shared" ref="AG748:AG752" si="120">IF($AE$736=$H$744,IF($AE$737=$H$745,IF($AE$738=AG$746,IF($AE$739=$K748,T748,0),0),0),0)</f>
        <v>0</v>
      </c>
      <c r="AH748" s="1268"/>
      <c r="AI748" s="1268">
        <f t="shared" ref="AI748:AI752" si="121">IF($AE$736=$H$744,IF($AE$737=$H$745,IF($AE$738=AI$746,IF($AE$739=$K748,V748,0),0),0),0)</f>
        <v>0</v>
      </c>
      <c r="AJ748" s="1268"/>
      <c r="AK748" s="1268">
        <f t="shared" ref="AK748:AK752" si="122">IF($AE$736=$H$744,IF($AE$737=$H$745,IF($AE$738=AK$746,IF($AE$739=$K748,X748,0),0),0),0)</f>
        <v>0</v>
      </c>
      <c r="AL748" s="1268"/>
      <c r="AM748" s="1268">
        <f t="shared" ref="AM748:AM752" si="123">IF($AE$736=$H$744,IF($AE$737=$H$745,IF($AE$738=AM$746,IF($AE$739=$K748,Z748,0),0),0),0)</f>
        <v>0</v>
      </c>
      <c r="AN748" s="1268"/>
      <c r="AV748" s="1268">
        <f t="shared" ref="AV748:AV752" si="124">IF($AV$736=$H$744,IF($AV$737=$H$745,IF($AV$738=AV$746,IF($AV$739=$K748,R748,0),0),0),0)</f>
        <v>0</v>
      </c>
      <c r="AW748" s="1268"/>
      <c r="AX748" s="1268">
        <f t="shared" ref="AX748:AX752" si="125">IF($AV$736=$H$744,IF($AV$737=$H$745,IF($AV$738=AX$746,IF($AV$739=$K748,T748,0),0),0),0)</f>
        <v>0</v>
      </c>
      <c r="AY748" s="1268"/>
      <c r="AZ748" s="1268">
        <f t="shared" ref="AZ748:AZ752" si="126">IF($AV$736=$H$744,IF($AV$737=$H$745,IF($AV$738=AZ$746,IF($AV$739=$K748,V748,0),0),0),0)</f>
        <v>0</v>
      </c>
      <c r="BA748" s="1268"/>
      <c r="BB748" s="1268">
        <f t="shared" ref="BB748:BB752" si="127">IF($AV$736=$H$744,IF($AV$737=$H$745,IF($AV$738=BB$746,IF($AV$739=$K748,X748,0),0),0),0)</f>
        <v>0</v>
      </c>
      <c r="BC748" s="1268"/>
      <c r="BD748" s="1268">
        <f t="shared" ref="BD748:BD752" si="128">IF($AV$736=$H$744,IF($AV$737=$H$745,IF($AV$738=BD$746,IF($AV$739=$K748,Z748,0),0),0),0)</f>
        <v>0</v>
      </c>
      <c r="BE748" s="1268"/>
      <c r="BQ748" s="201"/>
    </row>
    <row r="749" spans="5:124" hidden="1" outlineLevel="1" x14ac:dyDescent="0.15">
      <c r="H749" s="479" t="str">
        <f t="shared" si="117"/>
        <v>Davos</v>
      </c>
      <c r="K749" s="480" t="str">
        <f t="shared" si="118"/>
        <v>Davos</v>
      </c>
      <c r="R749" s="1276">
        <v>0</v>
      </c>
      <c r="S749" s="1276"/>
      <c r="T749" s="1276">
        <v>0.03</v>
      </c>
      <c r="U749" s="1276"/>
      <c r="V749" s="1276">
        <v>0.1</v>
      </c>
      <c r="W749" s="1276"/>
      <c r="X749" s="1276">
        <v>0.28000000000000003</v>
      </c>
      <c r="Y749" s="1276"/>
      <c r="Z749" s="1276">
        <v>0.52</v>
      </c>
      <c r="AA749" s="1276"/>
      <c r="AE749" s="1268">
        <f t="shared" si="119"/>
        <v>0</v>
      </c>
      <c r="AF749" s="1268"/>
      <c r="AG749" s="1268">
        <f t="shared" si="120"/>
        <v>0</v>
      </c>
      <c r="AH749" s="1268"/>
      <c r="AI749" s="1268">
        <f t="shared" si="121"/>
        <v>0</v>
      </c>
      <c r="AJ749" s="1268"/>
      <c r="AK749" s="1268">
        <f t="shared" si="122"/>
        <v>0</v>
      </c>
      <c r="AL749" s="1268"/>
      <c r="AM749" s="1268">
        <f t="shared" si="123"/>
        <v>0</v>
      </c>
      <c r="AN749" s="1268"/>
      <c r="AV749" s="1268">
        <f t="shared" si="124"/>
        <v>0</v>
      </c>
      <c r="AW749" s="1268"/>
      <c r="AX749" s="1268">
        <f t="shared" si="125"/>
        <v>0</v>
      </c>
      <c r="AY749" s="1268"/>
      <c r="AZ749" s="1268">
        <f t="shared" si="126"/>
        <v>0</v>
      </c>
      <c r="BA749" s="1268"/>
      <c r="BB749" s="1268">
        <f t="shared" si="127"/>
        <v>0</v>
      </c>
      <c r="BC749" s="1268"/>
      <c r="BD749" s="1268">
        <f t="shared" si="128"/>
        <v>0</v>
      </c>
      <c r="BE749" s="1268"/>
      <c r="BQ749" s="201"/>
    </row>
    <row r="750" spans="5:124" hidden="1" outlineLevel="1" x14ac:dyDescent="0.15">
      <c r="H750" s="479" t="str">
        <f t="shared" si="117"/>
        <v>Ginevra</v>
      </c>
      <c r="K750" s="480" t="str">
        <f t="shared" si="118"/>
        <v>Ginevra</v>
      </c>
      <c r="R750" s="1276">
        <v>0</v>
      </c>
      <c r="S750" s="1276"/>
      <c r="T750" s="1276">
        <v>0.02</v>
      </c>
      <c r="U750" s="1276"/>
      <c r="V750" s="1276">
        <v>0.05</v>
      </c>
      <c r="W750" s="1276"/>
      <c r="X750" s="1276">
        <v>0.15</v>
      </c>
      <c r="Y750" s="1276"/>
      <c r="Z750" s="1276">
        <v>0.36</v>
      </c>
      <c r="AA750" s="1276"/>
      <c r="AE750" s="1268">
        <f t="shared" si="119"/>
        <v>0</v>
      </c>
      <c r="AF750" s="1268"/>
      <c r="AG750" s="1268">
        <f t="shared" si="120"/>
        <v>0</v>
      </c>
      <c r="AH750" s="1268"/>
      <c r="AI750" s="1268">
        <f t="shared" si="121"/>
        <v>0</v>
      </c>
      <c r="AJ750" s="1268"/>
      <c r="AK750" s="1268">
        <f t="shared" si="122"/>
        <v>0</v>
      </c>
      <c r="AL750" s="1268"/>
      <c r="AM750" s="1268">
        <f t="shared" si="123"/>
        <v>0</v>
      </c>
      <c r="AN750" s="1268"/>
      <c r="AV750" s="1268">
        <f t="shared" si="124"/>
        <v>0</v>
      </c>
      <c r="AW750" s="1268"/>
      <c r="AX750" s="1268">
        <f t="shared" si="125"/>
        <v>0</v>
      </c>
      <c r="AY750" s="1268"/>
      <c r="AZ750" s="1268">
        <f t="shared" si="126"/>
        <v>0</v>
      </c>
      <c r="BA750" s="1268"/>
      <c r="BB750" s="1268">
        <f t="shared" si="127"/>
        <v>0</v>
      </c>
      <c r="BC750" s="1268"/>
      <c r="BD750" s="1268">
        <f t="shared" si="128"/>
        <v>0</v>
      </c>
      <c r="BE750" s="1268"/>
      <c r="BQ750" s="201"/>
    </row>
    <row r="751" spans="5:124" hidden="1" outlineLevel="1" x14ac:dyDescent="0.15">
      <c r="H751" s="479" t="str">
        <f t="shared" si="117"/>
        <v>La-Chaux-de-Fonds</v>
      </c>
      <c r="K751" s="480" t="str">
        <f t="shared" si="118"/>
        <v>La-Chaux-de-Fonds</v>
      </c>
      <c r="R751" s="1276">
        <v>2E-3</v>
      </c>
      <c r="S751" s="1276"/>
      <c r="T751" s="1276">
        <v>1.4999999999999999E-2</v>
      </c>
      <c r="U751" s="1276"/>
      <c r="V751" s="1276">
        <v>6.3E-2</v>
      </c>
      <c r="W751" s="1276"/>
      <c r="X751" s="1276">
        <v>0.20399999999999999</v>
      </c>
      <c r="Y751" s="1276"/>
      <c r="Z751" s="1276">
        <v>0.46400000000000002</v>
      </c>
      <c r="AA751" s="1276"/>
      <c r="AE751" s="1268">
        <f>IF($AE$736=$H$744,IF($AE$737=$H$745,IF($AE$738=AE$746,IF($AE$739=$K751,R751,0),0),0),0)</f>
        <v>0</v>
      </c>
      <c r="AF751" s="1268"/>
      <c r="AG751" s="1268">
        <f t="shared" si="120"/>
        <v>0</v>
      </c>
      <c r="AH751" s="1268"/>
      <c r="AI751" s="1268">
        <f t="shared" si="121"/>
        <v>0</v>
      </c>
      <c r="AJ751" s="1268"/>
      <c r="AK751" s="1268">
        <f t="shared" si="122"/>
        <v>0</v>
      </c>
      <c r="AL751" s="1268"/>
      <c r="AM751" s="1268">
        <f t="shared" si="123"/>
        <v>0</v>
      </c>
      <c r="AN751" s="1268"/>
      <c r="AV751" s="1268">
        <f t="shared" si="124"/>
        <v>0</v>
      </c>
      <c r="AW751" s="1268"/>
      <c r="AX751" s="1268">
        <f t="shared" si="125"/>
        <v>0</v>
      </c>
      <c r="AY751" s="1268"/>
      <c r="AZ751" s="1268">
        <f t="shared" si="126"/>
        <v>0</v>
      </c>
      <c r="BA751" s="1268"/>
      <c r="BB751" s="1268">
        <f t="shared" si="127"/>
        <v>0</v>
      </c>
      <c r="BC751" s="1268"/>
      <c r="BD751" s="1268">
        <f t="shared" si="128"/>
        <v>0</v>
      </c>
      <c r="BE751" s="1268"/>
      <c r="BQ751" s="201"/>
    </row>
    <row r="752" spans="5:124" hidden="1" outlineLevel="1" x14ac:dyDescent="0.15">
      <c r="H752" s="479" t="str">
        <f t="shared" si="117"/>
        <v>Lugano</v>
      </c>
      <c r="K752" s="480" t="str">
        <f t="shared" si="118"/>
        <v>Lugano</v>
      </c>
      <c r="R752" s="1276">
        <v>0</v>
      </c>
      <c r="S752" s="1276"/>
      <c r="T752" s="1276">
        <v>0.01</v>
      </c>
      <c r="U752" s="1276"/>
      <c r="V752" s="1276">
        <v>0.03</v>
      </c>
      <c r="W752" s="1276"/>
      <c r="X752" s="1276">
        <v>0.11</v>
      </c>
      <c r="Y752" s="1276"/>
      <c r="Z752" s="1276">
        <v>0.3</v>
      </c>
      <c r="AA752" s="1276"/>
      <c r="AE752" s="1268">
        <f t="shared" si="119"/>
        <v>0</v>
      </c>
      <c r="AF752" s="1268"/>
      <c r="AG752" s="1268">
        <f t="shared" si="120"/>
        <v>0</v>
      </c>
      <c r="AH752" s="1268"/>
      <c r="AI752" s="1268">
        <f t="shared" si="121"/>
        <v>0</v>
      </c>
      <c r="AJ752" s="1268"/>
      <c r="AK752" s="1268">
        <f t="shared" si="122"/>
        <v>0</v>
      </c>
      <c r="AL752" s="1268"/>
      <c r="AM752" s="1268">
        <f t="shared" si="123"/>
        <v>0</v>
      </c>
      <c r="AN752" s="1268"/>
      <c r="AV752" s="1268">
        <f t="shared" si="124"/>
        <v>0</v>
      </c>
      <c r="AW752" s="1268"/>
      <c r="AX752" s="1268">
        <f t="shared" si="125"/>
        <v>0</v>
      </c>
      <c r="AY752" s="1268"/>
      <c r="AZ752" s="1268">
        <f t="shared" si="126"/>
        <v>0</v>
      </c>
      <c r="BA752" s="1268"/>
      <c r="BB752" s="1268">
        <f t="shared" si="127"/>
        <v>0</v>
      </c>
      <c r="BC752" s="1268"/>
      <c r="BD752" s="1268">
        <f t="shared" si="128"/>
        <v>0</v>
      </c>
      <c r="BE752" s="1268"/>
      <c r="BQ752" s="201"/>
    </row>
    <row r="753" spans="8:69" hidden="1" outlineLevel="1" x14ac:dyDescent="0.15">
      <c r="H753" s="479" t="str">
        <f t="shared" si="117"/>
        <v>San Gallo</v>
      </c>
      <c r="K753" s="480" t="str">
        <f t="shared" si="118"/>
        <v>San Gallo</v>
      </c>
      <c r="R753" s="1276">
        <v>0</v>
      </c>
      <c r="S753" s="1276"/>
      <c r="T753" s="1276">
        <v>0.02</v>
      </c>
      <c r="U753" s="1276"/>
      <c r="V753" s="1276">
        <v>0.09</v>
      </c>
      <c r="W753" s="1276"/>
      <c r="X753" s="1276">
        <v>0.24</v>
      </c>
      <c r="Y753" s="1276"/>
      <c r="Z753" s="1276">
        <v>0.48199999999999998</v>
      </c>
      <c r="AA753" s="1276"/>
      <c r="AE753" s="1268">
        <f>IF($AE$736=$H$744,IF($AE$737=$H$745,IF($AE$738=AE$746,IF($AE$739=$K753,R753,0),0),0),0)</f>
        <v>0</v>
      </c>
      <c r="AF753" s="1268"/>
      <c r="AG753" s="1268">
        <f>IF($AE$736=$H$744,IF($AE$737=$H$745,IF($AE$738=AG$746,IF($AE$739=$K753,T753,0),0),0),0)</f>
        <v>0</v>
      </c>
      <c r="AH753" s="1268"/>
      <c r="AI753" s="1268">
        <f>IF($AE$736=$H$744,IF($AE$737=$H$745,IF($AE$738=AI$746,IF($AE$739=$K753,V753,0),0),0),0)</f>
        <v>0</v>
      </c>
      <c r="AJ753" s="1268"/>
      <c r="AK753" s="1268">
        <f>IF($AE$736=$H$744,IF($AE$737=$H$745,IF($AE$738=AK$746,IF($AE$739=$K753,X753,0),0),0),0)</f>
        <v>0</v>
      </c>
      <c r="AL753" s="1268"/>
      <c r="AM753" s="1268">
        <f>IF($AE$736=$H$744,IF($AE$737=$H$745,IF($AE$738=AM$746,IF($AE$739=$K753,Z753,0),0),0),0)</f>
        <v>0</v>
      </c>
      <c r="AN753" s="1268"/>
      <c r="AV753" s="1268">
        <f>IF($AV$736=$H$744,IF($AV$737=$H$745,IF($AV$738=AV$746,IF($AV$739=$K753,R753,0),0),0),0)</f>
        <v>0</v>
      </c>
      <c r="AW753" s="1268"/>
      <c r="AX753" s="1268">
        <f>IF($AV$736=$H$744,IF($AV$737=$H$745,IF($AV$738=AX$746,IF($AV$739=$K753,T753,0),0),0),0)</f>
        <v>0</v>
      </c>
      <c r="AY753" s="1268"/>
      <c r="AZ753" s="1268">
        <f>IF($AV$736=$H$744,IF($AV$737=$H$745,IF($AV$738=AZ$746,IF($AV$739=$K753,V753,0),0),0),0)</f>
        <v>0</v>
      </c>
      <c r="BA753" s="1268"/>
      <c r="BB753" s="1268">
        <f>IF($AV$736=$H$744,IF($AV$737=$H$745,IF($AV$738=BB$746,IF($AV$739=$K753,X753,0),0),0),0)</f>
        <v>0</v>
      </c>
      <c r="BC753" s="1268"/>
      <c r="BD753" s="1268">
        <f>IF($AV$736=$H$744,IF($AV$737=$H$745,IF($AV$738=BD$746,IF($AV$739=$K753,Z753,0),0),0),0)</f>
        <v>0</v>
      </c>
      <c r="BE753" s="1268"/>
      <c r="BQ753" s="201"/>
    </row>
    <row r="754" spans="8:69" hidden="1" outlineLevel="1" x14ac:dyDescent="0.15">
      <c r="H754" s="479" t="str">
        <f t="shared" si="117"/>
        <v>Zurigo</v>
      </c>
      <c r="K754" s="480" t="str">
        <f t="shared" si="118"/>
        <v>Zurigo</v>
      </c>
      <c r="R754" s="1276">
        <v>0</v>
      </c>
      <c r="S754" s="1276"/>
      <c r="T754" s="1276">
        <v>0</v>
      </c>
      <c r="U754" s="1276"/>
      <c r="V754" s="1276">
        <v>0.05</v>
      </c>
      <c r="W754" s="1276"/>
      <c r="X754" s="1276">
        <v>0.16</v>
      </c>
      <c r="Y754" s="1276"/>
      <c r="Z754" s="1276">
        <v>0.37</v>
      </c>
      <c r="AA754" s="1276"/>
      <c r="AE754" s="1268">
        <f>IF($AE$736=$H$744,IF($AE$737=$H$745,IF($AE$738=AE$746,IF($AE$739=$K754,R754,0),0),0),0)</f>
        <v>0</v>
      </c>
      <c r="AF754" s="1268"/>
      <c r="AG754" s="1268">
        <f>IF($AE$736=$H$744,IF($AE$737=$H$745,IF($AE$738=AG$746,IF($AE$739=$K754,T754,0),0),0),0)</f>
        <v>0</v>
      </c>
      <c r="AH754" s="1268"/>
      <c r="AI754" s="1268">
        <f>IF($AE$736=$H$744,IF($AE$737=$H$745,IF($AE$738=AI$746,IF($AE$739=$K754,V754,0),0),0),0)</f>
        <v>0</v>
      </c>
      <c r="AJ754" s="1268"/>
      <c r="AK754" s="1268">
        <f>IF($AE$736=$H$744,IF($AE$737=$H$745,IF($AE$738=AK$746,IF($AE$739=$K754,X754,0),0),0),0)</f>
        <v>0</v>
      </c>
      <c r="AL754" s="1268"/>
      <c r="AM754" s="1268">
        <f>IF($AE$736=$H$744,IF($AE$737=$H$745,IF($AE$738=AM$746,IF($AE$739=$K754,Z754,0),0),0),0)</f>
        <v>0</v>
      </c>
      <c r="AN754" s="1268"/>
      <c r="AV754" s="1268">
        <f>IF($AV$736=$H$744,IF($AV$737=$H$745,IF($AV$738=AV$746,IF($AV$739=$K754,R754,0),0),0),0)</f>
        <v>0</v>
      </c>
      <c r="AW754" s="1268"/>
      <c r="AX754" s="1268">
        <f>IF($AV$736=$H$744,IF($AV$737=$H$745,IF($AV$738=AX$746,IF($AV$739=$K754,T754,0),0),0),0)</f>
        <v>0</v>
      </c>
      <c r="AY754" s="1268"/>
      <c r="AZ754" s="1268">
        <f>IF($AV$736=$H$744,IF($AV$737=$H$745,IF($AV$738=AZ$746,IF($AV$739=$K754,V754,0),0),0),0)</f>
        <v>0</v>
      </c>
      <c r="BA754" s="1268"/>
      <c r="BB754" s="1268">
        <f>IF($AV$736=$H$744,IF($AV$737=$H$745,IF($AV$738=BB$746,IF($AV$739=$K754,X754,0),0),0),0)</f>
        <v>0</v>
      </c>
      <c r="BC754" s="1268"/>
      <c r="BD754" s="1268">
        <f>IF($AV$736=$H$744,IF($AV$737=$H$745,IF($AV$738=BD$746,IF($AV$739=$K754,Z754,0),0),0),0)</f>
        <v>0</v>
      </c>
      <c r="BE754" s="1268"/>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Refrigeratore-climatizzatore (2'000 h/a)</v>
      </c>
      <c r="U757"/>
      <c r="BQ757" s="201"/>
    </row>
    <row r="758" spans="8:69" hidden="1" outlineLevel="1" x14ac:dyDescent="0.15">
      <c r="H758" s="483" t="str">
        <f>X$495</f>
        <v>Ibrido</v>
      </c>
      <c r="R758" s="1269" t="s">
        <v>788</v>
      </c>
      <c r="S758" s="1269"/>
      <c r="T758" s="1269"/>
      <c r="U758" s="1269"/>
      <c r="V758" s="1269"/>
      <c r="W758" s="1269"/>
      <c r="X758" s="1269"/>
      <c r="Y758" s="1269"/>
      <c r="Z758" s="1269"/>
      <c r="AA758" s="1269"/>
      <c r="AE758" s="1269" t="s">
        <v>788</v>
      </c>
      <c r="AF758" s="1269"/>
      <c r="AG758" s="1269"/>
      <c r="AH758" s="1269"/>
      <c r="AI758" s="1269"/>
      <c r="AJ758" s="1269"/>
      <c r="AK758" s="1269"/>
      <c r="AL758" s="1269"/>
      <c r="AM758" s="1269"/>
      <c r="AN758" s="1269"/>
      <c r="AV758" s="1269" t="s">
        <v>788</v>
      </c>
      <c r="AW758" s="1269"/>
      <c r="AX758" s="1269"/>
      <c r="AY758" s="1269"/>
      <c r="AZ758" s="1269"/>
      <c r="BA758" s="1269"/>
      <c r="BB758" s="1269"/>
      <c r="BC758" s="1269"/>
      <c r="BD758" s="1269"/>
      <c r="BE758" s="1269"/>
      <c r="BQ758" s="201"/>
    </row>
    <row r="759" spans="8:69" hidden="1" outlineLevel="1" x14ac:dyDescent="0.15">
      <c r="H759"/>
      <c r="R759" s="1269">
        <v>6</v>
      </c>
      <c r="S759" s="1269"/>
      <c r="T759" s="1269">
        <v>10</v>
      </c>
      <c r="U759" s="1269"/>
      <c r="V759" s="1269">
        <v>14</v>
      </c>
      <c r="W759" s="1269"/>
      <c r="X759" s="1269">
        <v>18</v>
      </c>
      <c r="Y759" s="1269"/>
      <c r="Z759" s="1269">
        <v>22</v>
      </c>
      <c r="AA759" s="1269"/>
      <c r="AE759" s="1269">
        <v>6</v>
      </c>
      <c r="AF759" s="1269"/>
      <c r="AG759" s="1269">
        <v>10</v>
      </c>
      <c r="AH759" s="1269"/>
      <c r="AI759" s="1269">
        <v>14</v>
      </c>
      <c r="AJ759" s="1269"/>
      <c r="AK759" s="1269">
        <v>18</v>
      </c>
      <c r="AL759" s="1269"/>
      <c r="AM759" s="1269">
        <v>22</v>
      </c>
      <c r="AN759" s="1269"/>
      <c r="AO759" s="1274">
        <f>SUM(AE760:AN767)</f>
        <v>0</v>
      </c>
      <c r="AP759" s="1275"/>
      <c r="AV759" s="1269">
        <v>6</v>
      </c>
      <c r="AW759" s="1269"/>
      <c r="AX759" s="1269">
        <v>10</v>
      </c>
      <c r="AY759" s="1269"/>
      <c r="AZ759" s="1269">
        <v>14</v>
      </c>
      <c r="BA759" s="1269"/>
      <c r="BB759" s="1269">
        <v>18</v>
      </c>
      <c r="BC759" s="1269"/>
      <c r="BD759" s="1269">
        <v>22</v>
      </c>
      <c r="BE759" s="1269"/>
      <c r="BF759" s="1274">
        <f>SUM(AV760:BE767)</f>
        <v>0</v>
      </c>
      <c r="BG759" s="1275"/>
      <c r="BQ759" s="201"/>
    </row>
    <row r="760" spans="8:69" hidden="1" outlineLevel="1" x14ac:dyDescent="0.15">
      <c r="H760" s="479" t="str">
        <f>H598</f>
        <v>Basilea</v>
      </c>
      <c r="K760" s="480" t="str">
        <f>H760</f>
        <v>Basilea</v>
      </c>
      <c r="R760" s="1276">
        <v>0</v>
      </c>
      <c r="S760" s="1276"/>
      <c r="T760" s="1276">
        <v>0.01</v>
      </c>
      <c r="U760" s="1276"/>
      <c r="V760" s="1276">
        <v>0.11</v>
      </c>
      <c r="W760" s="1276"/>
      <c r="X760" s="1276">
        <v>0.35</v>
      </c>
      <c r="Y760" s="1276"/>
      <c r="Z760" s="1276">
        <v>0.65</v>
      </c>
      <c r="AA760" s="1276"/>
      <c r="AE760" s="1268">
        <f>IF($AE$736=$H$757,IF($AE$737=$H$758,IF($AE$738=AE$746,IF($AE$739=$K760,R760,0),0),0),0)</f>
        <v>0</v>
      </c>
      <c r="AF760" s="1268"/>
      <c r="AG760" s="1268">
        <f>IF($AE$736=$H$757,IF($AE$737=$H$758,IF($AE$738=AG$746,IF($AE$739=$K760,T760,0),0),0),0)</f>
        <v>0</v>
      </c>
      <c r="AH760" s="1268"/>
      <c r="AI760" s="1268">
        <f>IF($AE$736=$H$757,IF($AE$737=$H$758,IF($AE$738=AI$746,IF($AE$739=$K760,V760,0),0),0),0)</f>
        <v>0</v>
      </c>
      <c r="AJ760" s="1268"/>
      <c r="AK760" s="1268">
        <f>IF($AE$736=$H$757,IF($AE$737=$H$758,IF($AE$738=AK$746,IF($AE$739=$K760,X760,0),0),0),0)</f>
        <v>0</v>
      </c>
      <c r="AL760" s="1268"/>
      <c r="AM760" s="1268">
        <f>IF($AE$736=$H$757,IF($AE$737=$H$758,IF($AE$738=AM$746,IF($AE$739=$K760,Z760,0),0),0),0)</f>
        <v>0</v>
      </c>
      <c r="AN760" s="1268"/>
      <c r="AV760" s="1268">
        <f>IF($AV$736=$H$757,IF($AV$737=$H$758,IF($AV$738=AV$746,IF($AV$739=$K760,R760,0),0),0),0)</f>
        <v>0</v>
      </c>
      <c r="AW760" s="1268"/>
      <c r="AX760" s="1268">
        <f>IF($AV$736=$H$757,IF($AV$737=$H$758,IF($AV$738=AX$746,IF($AV$739=$K760,T760,0),0),0),0)</f>
        <v>0</v>
      </c>
      <c r="AY760" s="1268"/>
      <c r="AZ760" s="1268">
        <f>IF($AV$736=$H$757,IF($AV$737=$H$758,IF($AV$738=AZ$746,IF($AV$739=$K760,V760,0),0),0),0)</f>
        <v>0</v>
      </c>
      <c r="BA760" s="1268"/>
      <c r="BB760" s="1268">
        <f>IF($AV$736=$H$757,IF($AV$737=$H$758,IF($AV$738=BB$746,IF($AV$739=$K760,X760,0),0),0),0)</f>
        <v>0</v>
      </c>
      <c r="BC760" s="1268"/>
      <c r="BD760" s="1268">
        <f>IF($AV$736=$H$757,IF($AV$737=$H$758,IF($AV$738=BD$746,IF($AV$739=$K760,Z760,0),0),0),0)</f>
        <v>0</v>
      </c>
      <c r="BE760" s="1268"/>
      <c r="BQ760" s="201"/>
    </row>
    <row r="761" spans="8:69" hidden="1" outlineLevel="1" x14ac:dyDescent="0.15">
      <c r="H761" s="479" t="str">
        <f t="shared" ref="H761:H767" si="129">H599</f>
        <v>Berna</v>
      </c>
      <c r="K761" s="480" t="str">
        <f t="shared" ref="K761:K767" si="130">H761</f>
        <v>Berna</v>
      </c>
      <c r="R761" s="1276">
        <v>0</v>
      </c>
      <c r="S761" s="1276"/>
      <c r="T761" s="1276">
        <v>0.02</v>
      </c>
      <c r="U761" s="1276"/>
      <c r="V761" s="1276">
        <v>0.13</v>
      </c>
      <c r="W761" s="1276"/>
      <c r="X761" s="1276">
        <v>0.42</v>
      </c>
      <c r="Y761" s="1276"/>
      <c r="Z761" s="1276">
        <v>0.71</v>
      </c>
      <c r="AA761" s="1276"/>
      <c r="AE761" s="1268">
        <f t="shared" ref="AE761:AE765" si="131">IF($AE$736=$H$757,IF($AE$737=$H$758,IF($AE$738=AE$746,IF($AE$739=$K761,R761,0),0),0),0)</f>
        <v>0</v>
      </c>
      <c r="AF761" s="1268"/>
      <c r="AG761" s="1268">
        <f t="shared" ref="AG761:AG765" si="132">IF($AE$736=$H$757,IF($AE$737=$H$758,IF($AE$738=AG$746,IF($AE$739=$K761,T761,0),0),0),0)</f>
        <v>0</v>
      </c>
      <c r="AH761" s="1268"/>
      <c r="AI761" s="1268">
        <f t="shared" ref="AI761:AI765" si="133">IF($AE$736=$H$757,IF($AE$737=$H$758,IF($AE$738=AI$746,IF($AE$739=$K761,V761,0),0),0),0)</f>
        <v>0</v>
      </c>
      <c r="AJ761" s="1268"/>
      <c r="AK761" s="1268">
        <f t="shared" ref="AK761:AK765" si="134">IF($AE$736=$H$757,IF($AE$737=$H$758,IF($AE$738=AK$746,IF($AE$739=$K761,X761,0),0),0),0)</f>
        <v>0</v>
      </c>
      <c r="AL761" s="1268"/>
      <c r="AM761" s="1268">
        <f t="shared" ref="AM761:AM765" si="135">IF($AE$736=$H$757,IF($AE$737=$H$758,IF($AE$738=AM$746,IF($AE$739=$K761,Z761,0),0),0),0)</f>
        <v>0</v>
      </c>
      <c r="AN761" s="1268"/>
      <c r="AV761" s="1268">
        <f t="shared" ref="AV761:AV765" si="136">IF($AV$736=$H$757,IF($AV$737=$H$758,IF($AV$738=AV$746,IF($AV$739=$K761,R761,0),0),0),0)</f>
        <v>0</v>
      </c>
      <c r="AW761" s="1268"/>
      <c r="AX761" s="1268">
        <f t="shared" ref="AX761:AX765" si="137">IF($AV$736=$H$757,IF($AV$737=$H$758,IF($AV$738=AX$746,IF($AV$739=$K761,T761,0),0),0),0)</f>
        <v>0</v>
      </c>
      <c r="AY761" s="1268"/>
      <c r="AZ761" s="1268">
        <f t="shared" ref="AZ761:AZ765" si="138">IF($AV$736=$H$757,IF($AV$737=$H$758,IF($AV$738=AZ$746,IF($AV$739=$K761,V761,0),0),0),0)</f>
        <v>0</v>
      </c>
      <c r="BA761" s="1268"/>
      <c r="BB761" s="1268">
        <f t="shared" ref="BB761:BB765" si="139">IF($AV$736=$H$757,IF($AV$737=$H$758,IF($AV$738=BB$746,IF($AV$739=$K761,X761,0),0),0),0)</f>
        <v>0</v>
      </c>
      <c r="BC761" s="1268"/>
      <c r="BD761" s="1268">
        <f t="shared" ref="BD761:BD765" si="140">IF($AV$736=$H$757,IF($AV$737=$H$758,IF($AV$738=BD$746,IF($AV$739=$K761,Z761,0),0),0),0)</f>
        <v>0</v>
      </c>
      <c r="BE761" s="1268"/>
      <c r="BQ761" s="201"/>
    </row>
    <row r="762" spans="8:69" hidden="1" outlineLevel="1" x14ac:dyDescent="0.15">
      <c r="H762" s="479" t="str">
        <f t="shared" si="129"/>
        <v>Davos</v>
      </c>
      <c r="K762" s="480" t="str">
        <f t="shared" si="130"/>
        <v>Davos</v>
      </c>
      <c r="R762" s="1276">
        <v>0.01</v>
      </c>
      <c r="S762" s="1276"/>
      <c r="T762" s="1276">
        <v>0.05</v>
      </c>
      <c r="U762" s="1276"/>
      <c r="V762" s="1276">
        <v>0.3</v>
      </c>
      <c r="W762" s="1276"/>
      <c r="X762" s="1276">
        <v>0.62</v>
      </c>
      <c r="Y762" s="1276"/>
      <c r="Z762" s="1276">
        <v>0.7</v>
      </c>
      <c r="AA762" s="1276"/>
      <c r="AE762" s="1268">
        <f t="shared" si="131"/>
        <v>0</v>
      </c>
      <c r="AF762" s="1268"/>
      <c r="AG762" s="1268">
        <f t="shared" si="132"/>
        <v>0</v>
      </c>
      <c r="AH762" s="1268"/>
      <c r="AI762" s="1268">
        <f t="shared" si="133"/>
        <v>0</v>
      </c>
      <c r="AJ762" s="1268"/>
      <c r="AK762" s="1268">
        <f t="shared" si="134"/>
        <v>0</v>
      </c>
      <c r="AL762" s="1268"/>
      <c r="AM762" s="1268">
        <f t="shared" si="135"/>
        <v>0</v>
      </c>
      <c r="AN762" s="1268"/>
      <c r="AV762" s="1268">
        <f t="shared" si="136"/>
        <v>0</v>
      </c>
      <c r="AW762" s="1268"/>
      <c r="AX762" s="1268">
        <f t="shared" si="137"/>
        <v>0</v>
      </c>
      <c r="AY762" s="1268"/>
      <c r="AZ762" s="1268">
        <f t="shared" si="138"/>
        <v>0</v>
      </c>
      <c r="BA762" s="1268"/>
      <c r="BB762" s="1268">
        <f t="shared" si="139"/>
        <v>0</v>
      </c>
      <c r="BC762" s="1268"/>
      <c r="BD762" s="1268">
        <f t="shared" si="140"/>
        <v>0</v>
      </c>
      <c r="BE762" s="1268"/>
      <c r="BQ762" s="201"/>
    </row>
    <row r="763" spans="8:69" hidden="1" outlineLevel="1" x14ac:dyDescent="0.15">
      <c r="H763" s="479" t="str">
        <f t="shared" si="129"/>
        <v>Ginevra</v>
      </c>
      <c r="K763" s="480" t="str">
        <f t="shared" si="130"/>
        <v>Ginevra</v>
      </c>
      <c r="R763" s="1276">
        <v>0</v>
      </c>
      <c r="S763" s="1276"/>
      <c r="T763" s="1276">
        <v>0.01</v>
      </c>
      <c r="U763" s="1276"/>
      <c r="V763" s="1276">
        <v>0.11</v>
      </c>
      <c r="W763" s="1276"/>
      <c r="X763" s="1276">
        <v>0.36</v>
      </c>
      <c r="Y763" s="1276"/>
      <c r="Z763" s="1276">
        <v>0.65</v>
      </c>
      <c r="AA763" s="1276"/>
      <c r="AE763" s="1268">
        <f t="shared" si="131"/>
        <v>0</v>
      </c>
      <c r="AF763" s="1268"/>
      <c r="AG763" s="1268">
        <f t="shared" si="132"/>
        <v>0</v>
      </c>
      <c r="AH763" s="1268"/>
      <c r="AI763" s="1268">
        <f t="shared" si="133"/>
        <v>0</v>
      </c>
      <c r="AJ763" s="1268"/>
      <c r="AK763" s="1268">
        <f t="shared" si="134"/>
        <v>0</v>
      </c>
      <c r="AL763" s="1268"/>
      <c r="AM763" s="1268">
        <f t="shared" si="135"/>
        <v>0</v>
      </c>
      <c r="AN763" s="1268"/>
      <c r="AV763" s="1268">
        <f t="shared" si="136"/>
        <v>0</v>
      </c>
      <c r="AW763" s="1268"/>
      <c r="AX763" s="1268">
        <f t="shared" si="137"/>
        <v>0</v>
      </c>
      <c r="AY763" s="1268"/>
      <c r="AZ763" s="1268">
        <f t="shared" si="138"/>
        <v>0</v>
      </c>
      <c r="BA763" s="1268"/>
      <c r="BB763" s="1268">
        <f t="shared" si="139"/>
        <v>0</v>
      </c>
      <c r="BC763" s="1268"/>
      <c r="BD763" s="1268">
        <f t="shared" si="140"/>
        <v>0</v>
      </c>
      <c r="BE763" s="1268"/>
      <c r="BQ763" s="201"/>
    </row>
    <row r="764" spans="8:69" hidden="1" outlineLevel="1" x14ac:dyDescent="0.15">
      <c r="H764" s="479" t="str">
        <f t="shared" si="129"/>
        <v>La-Chaux-de-Fonds</v>
      </c>
      <c r="K764" s="480" t="str">
        <f t="shared" si="130"/>
        <v>La-Chaux-de-Fonds</v>
      </c>
      <c r="R764" s="1276">
        <v>0</v>
      </c>
      <c r="S764" s="1276"/>
      <c r="T764" s="1276">
        <v>0.02</v>
      </c>
      <c r="U764" s="1276"/>
      <c r="V764" s="1276">
        <v>0.15</v>
      </c>
      <c r="W764" s="1276"/>
      <c r="X764" s="1276">
        <v>0.45</v>
      </c>
      <c r="Y764" s="1276"/>
      <c r="Z764" s="1276">
        <v>0.72</v>
      </c>
      <c r="AA764" s="1276"/>
      <c r="AE764" s="1268">
        <f t="shared" si="131"/>
        <v>0</v>
      </c>
      <c r="AF764" s="1268"/>
      <c r="AG764" s="1268">
        <f t="shared" si="132"/>
        <v>0</v>
      </c>
      <c r="AH764" s="1268"/>
      <c r="AI764" s="1268">
        <f t="shared" si="133"/>
        <v>0</v>
      </c>
      <c r="AJ764" s="1268"/>
      <c r="AK764" s="1268">
        <f t="shared" si="134"/>
        <v>0</v>
      </c>
      <c r="AL764" s="1268"/>
      <c r="AM764" s="1268">
        <f t="shared" si="135"/>
        <v>0</v>
      </c>
      <c r="AN764" s="1268"/>
      <c r="AV764" s="1268">
        <f t="shared" si="136"/>
        <v>0</v>
      </c>
      <c r="AW764" s="1268"/>
      <c r="AX764" s="1268">
        <f t="shared" si="137"/>
        <v>0</v>
      </c>
      <c r="AY764" s="1268"/>
      <c r="AZ764" s="1268">
        <f t="shared" si="138"/>
        <v>0</v>
      </c>
      <c r="BA764" s="1268"/>
      <c r="BB764" s="1268">
        <f t="shared" si="139"/>
        <v>0</v>
      </c>
      <c r="BC764" s="1268"/>
      <c r="BD764" s="1268">
        <f t="shared" si="140"/>
        <v>0</v>
      </c>
      <c r="BE764" s="1268"/>
      <c r="BQ764" s="201"/>
    </row>
    <row r="765" spans="8:69" hidden="1" outlineLevel="1" x14ac:dyDescent="0.15">
      <c r="H765" s="479" t="str">
        <f t="shared" si="129"/>
        <v>Lugano</v>
      </c>
      <c r="K765" s="480" t="str">
        <f t="shared" si="130"/>
        <v>Lugano</v>
      </c>
      <c r="R765" s="1276">
        <v>0</v>
      </c>
      <c r="S765" s="1276"/>
      <c r="T765" s="1276">
        <v>0.02</v>
      </c>
      <c r="U765" s="1276"/>
      <c r="V765" s="1276">
        <v>7.0000000000000007E-2</v>
      </c>
      <c r="W765" s="1276"/>
      <c r="X765" s="1276">
        <v>0.27</v>
      </c>
      <c r="Y765" s="1276"/>
      <c r="Z765" s="1276">
        <v>0.52</v>
      </c>
      <c r="AA765" s="1276"/>
      <c r="AE765" s="1268">
        <f t="shared" si="131"/>
        <v>0</v>
      </c>
      <c r="AF765" s="1268"/>
      <c r="AG765" s="1268">
        <f t="shared" si="132"/>
        <v>0</v>
      </c>
      <c r="AH765" s="1268"/>
      <c r="AI765" s="1268">
        <f t="shared" si="133"/>
        <v>0</v>
      </c>
      <c r="AJ765" s="1268"/>
      <c r="AK765" s="1268">
        <f t="shared" si="134"/>
        <v>0</v>
      </c>
      <c r="AL765" s="1268"/>
      <c r="AM765" s="1268">
        <f t="shared" si="135"/>
        <v>0</v>
      </c>
      <c r="AN765" s="1268"/>
      <c r="AV765" s="1268">
        <f t="shared" si="136"/>
        <v>0</v>
      </c>
      <c r="AW765" s="1268"/>
      <c r="AX765" s="1268">
        <f t="shared" si="137"/>
        <v>0</v>
      </c>
      <c r="AY765" s="1268"/>
      <c r="AZ765" s="1268">
        <f t="shared" si="138"/>
        <v>0</v>
      </c>
      <c r="BA765" s="1268"/>
      <c r="BB765" s="1268">
        <f t="shared" si="139"/>
        <v>0</v>
      </c>
      <c r="BC765" s="1268"/>
      <c r="BD765" s="1268">
        <f t="shared" si="140"/>
        <v>0</v>
      </c>
      <c r="BE765" s="1268"/>
      <c r="BQ765" s="201"/>
    </row>
    <row r="766" spans="8:69" hidden="1" outlineLevel="1" x14ac:dyDescent="0.15">
      <c r="H766" s="479" t="str">
        <f t="shared" si="129"/>
        <v>San Gallo</v>
      </c>
      <c r="K766" s="480" t="str">
        <f t="shared" si="130"/>
        <v>San Gallo</v>
      </c>
      <c r="R766" s="1276">
        <v>0</v>
      </c>
      <c r="S766" s="1276"/>
      <c r="T766" s="1276">
        <v>0.03</v>
      </c>
      <c r="U766" s="1276"/>
      <c r="V766" s="1276">
        <v>0.14000000000000001</v>
      </c>
      <c r="W766" s="1276"/>
      <c r="X766" s="1276">
        <v>0.43</v>
      </c>
      <c r="Y766" s="1276"/>
      <c r="Z766" s="1276">
        <v>0.69</v>
      </c>
      <c r="AA766" s="1276"/>
      <c r="AE766" s="1268">
        <f>IF($AE$736=$H$757,IF($AE$737=$H$758,IF($AE$738=AE$746,IF($AE$739=$K766,R766,0),0),0),0)</f>
        <v>0</v>
      </c>
      <c r="AF766" s="1268"/>
      <c r="AG766" s="1268">
        <f>IF($AE$736=$H$757,IF($AE$737=$H$758,IF($AE$738=AG$746,IF($AE$739=$K766,T766,0),0),0),0)</f>
        <v>0</v>
      </c>
      <c r="AH766" s="1268"/>
      <c r="AI766" s="1268">
        <f>IF($AE$736=$H$757,IF($AE$737=$H$758,IF($AE$738=AI$746,IF($AE$739=$K766,V766,0),0),0),0)</f>
        <v>0</v>
      </c>
      <c r="AJ766" s="1268"/>
      <c r="AK766" s="1268">
        <f>IF($AE$736=$H$757,IF($AE$737=$H$758,IF($AE$738=AK$746,IF($AE$739=$K766,X766,0),0),0),0)</f>
        <v>0</v>
      </c>
      <c r="AL766" s="1268"/>
      <c r="AM766" s="1268">
        <f>IF($AE$736=$H$757,IF($AE$737=$H$758,IF($AE$738=AM$746,IF($AE$739=$K766,Z766,0),0),0),0)</f>
        <v>0</v>
      </c>
      <c r="AN766" s="1268"/>
      <c r="AV766" s="1268">
        <f>IF($AV$736=$H$757,IF($AV$737=$H$758,IF($AV$738=AV$746,IF($AV$739=$K766,R766,0),0),0),0)</f>
        <v>0</v>
      </c>
      <c r="AW766" s="1268"/>
      <c r="AX766" s="1268">
        <f>IF($AV$736=$H$757,IF($AV$737=$H$758,IF($AV$738=AX$746,IF($AV$739=$K766,T766,0),0),0),0)</f>
        <v>0</v>
      </c>
      <c r="AY766" s="1268"/>
      <c r="AZ766" s="1268">
        <f>IF($AV$736=$H$757,IF($AV$737=$H$758,IF($AV$738=AZ$746,IF($AV$739=$K766,V766,0),0),0),0)</f>
        <v>0</v>
      </c>
      <c r="BA766" s="1268"/>
      <c r="BB766" s="1268">
        <f>IF($AV$736=$H$757,IF($AV$737=$H$758,IF($AV$738=BB$746,IF($AV$739=$K766,X766,0),0),0),0)</f>
        <v>0</v>
      </c>
      <c r="BC766" s="1268"/>
      <c r="BD766" s="1268">
        <f>IF($AV$736=$H$757,IF($AV$737=$H$758,IF($AV$738=BD$746,IF($AV$739=$K766,Z766,0),0),0),0)</f>
        <v>0</v>
      </c>
      <c r="BE766" s="1268"/>
      <c r="BQ766" s="201"/>
    </row>
    <row r="767" spans="8:69" hidden="1" outlineLevel="1" x14ac:dyDescent="0.15">
      <c r="H767" s="479" t="str">
        <f t="shared" si="129"/>
        <v>Zurigo</v>
      </c>
      <c r="K767" s="480" t="str">
        <f t="shared" si="130"/>
        <v>Zurigo</v>
      </c>
      <c r="R767" s="1276">
        <v>0</v>
      </c>
      <c r="S767" s="1276"/>
      <c r="T767" s="1276">
        <v>0.01</v>
      </c>
      <c r="U767" s="1276"/>
      <c r="V767" s="1276">
        <v>0.1</v>
      </c>
      <c r="W767" s="1276"/>
      <c r="X767" s="1276">
        <v>0.35</v>
      </c>
      <c r="Y767" s="1276"/>
      <c r="Z767" s="1276">
        <v>0.66</v>
      </c>
      <c r="AA767" s="1276"/>
      <c r="AE767" s="1268">
        <f>IF($AE$736=$H$757,IF($AE$737=$H$758,IF($AE$738=AE$746,IF($AE$739=$K767,R767,0),0),0),0)</f>
        <v>0</v>
      </c>
      <c r="AF767" s="1268"/>
      <c r="AG767" s="1268">
        <f>IF($AE$736=$H$757,IF($AE$737=$H$758,IF($AE$738=AG$746,IF($AE$739=$K767,T767,0),0),0),0)</f>
        <v>0</v>
      </c>
      <c r="AH767" s="1268"/>
      <c r="AI767" s="1268">
        <f>IF($AE$736=$H$757,IF($AE$737=$H$758,IF($AE$738=AI$746,IF($AE$739=$K767,V767,0),0),0),0)</f>
        <v>0</v>
      </c>
      <c r="AJ767" s="1268"/>
      <c r="AK767" s="1268">
        <f>IF($AE$736=$H$757,IF($AE$737=$H$758,IF($AE$738=AK$746,IF($AE$739=$K767,X767,0),0),0),0)</f>
        <v>0</v>
      </c>
      <c r="AL767" s="1268"/>
      <c r="AM767" s="1268">
        <f>IF($AE$736=$H$757,IF($AE$737=$H$758,IF($AE$738=AM$746,IF($AE$739=$K767,Z767,0),0),0),0)</f>
        <v>0</v>
      </c>
      <c r="AN767" s="1268"/>
      <c r="AV767" s="1268">
        <f>IF($AV$736=$H$757,IF($AV$737=$H$758,IF($AV$738=AV$746,IF($AV$739=$K767,R767,0),0),0),0)</f>
        <v>0</v>
      </c>
      <c r="AW767" s="1268"/>
      <c r="AX767" s="1268">
        <f>IF($AV$736=$H$757,IF($AV$737=$H$758,IF($AV$738=AX$746,IF($AV$739=$K767,T767,0),0),0),0)</f>
        <v>0</v>
      </c>
      <c r="AY767" s="1268"/>
      <c r="AZ767" s="1268">
        <f>IF($AV$736=$H$757,IF($AV$737=$H$758,IF($AV$738=AZ$746,IF($AV$739=$K767,V767,0),0),0),0)</f>
        <v>0</v>
      </c>
      <c r="BA767" s="1268"/>
      <c r="BB767" s="1268">
        <f>IF($AV$736=$H$757,IF($AV$737=$H$758,IF($AV$738=BB$746,IF($AV$739=$K767,X767,0),0),0),0)</f>
        <v>0</v>
      </c>
      <c r="BC767" s="1268"/>
      <c r="BD767" s="1268">
        <f>IF($AV$736=$H$757,IF($AV$737=$H$758,IF($AV$738=BD$746,IF($AV$739=$K767,Z767,0),0),0),0)</f>
        <v>0</v>
      </c>
      <c r="BE767" s="1268"/>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Impianto con 3'500 ore di funz. a pieno regime all'anno</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Impianto con 3'500 ore di funz. a pieno regime all'anno</v>
      </c>
      <c r="R772" s="70"/>
      <c r="T772" s="70"/>
      <c r="V772" s="70"/>
      <c r="X772" s="70"/>
      <c r="Z772" s="70"/>
      <c r="BQ772" s="201"/>
    </row>
    <row r="773" spans="8:69" hidden="1" outlineLevel="1" x14ac:dyDescent="0.15">
      <c r="H773" s="482" t="str">
        <f>X$494</f>
        <v>Secco</v>
      </c>
      <c r="R773" s="1273" t="s">
        <v>788</v>
      </c>
      <c r="S773" s="1273"/>
      <c r="T773" s="1273"/>
      <c r="U773" s="1273"/>
      <c r="V773" s="1273"/>
      <c r="W773" s="1273"/>
      <c r="X773" s="1273"/>
      <c r="Y773" s="1273"/>
      <c r="Z773" s="1273"/>
      <c r="AA773" s="1273"/>
      <c r="AE773" s="1273" t="s">
        <v>788</v>
      </c>
      <c r="AF773" s="1273"/>
      <c r="AG773" s="1273"/>
      <c r="AH773" s="1273"/>
      <c r="AI773" s="1273"/>
      <c r="AJ773" s="1273"/>
      <c r="AK773" s="1273"/>
      <c r="AL773" s="1273"/>
      <c r="AM773" s="1273"/>
      <c r="AN773" s="1273"/>
      <c r="AV773" s="1273" t="s">
        <v>788</v>
      </c>
      <c r="AW773" s="1273"/>
      <c r="AX773" s="1273"/>
      <c r="AY773" s="1273"/>
      <c r="AZ773" s="1273"/>
      <c r="BA773" s="1273"/>
      <c r="BB773" s="1273"/>
      <c r="BC773" s="1273"/>
      <c r="BD773" s="1273"/>
      <c r="BE773" s="1273"/>
      <c r="BQ773" s="201"/>
    </row>
    <row r="774" spans="8:69" hidden="1" outlineLevel="1" x14ac:dyDescent="0.15">
      <c r="H774"/>
      <c r="R774" s="1273">
        <v>6</v>
      </c>
      <c r="S774" s="1273"/>
      <c r="T774" s="1273">
        <v>10</v>
      </c>
      <c r="U774" s="1273"/>
      <c r="V774" s="1273">
        <v>14</v>
      </c>
      <c r="W774" s="1273"/>
      <c r="X774" s="1273">
        <v>18</v>
      </c>
      <c r="Y774" s="1273"/>
      <c r="Z774" s="1273">
        <v>22</v>
      </c>
      <c r="AA774" s="1273"/>
      <c r="AE774" s="1273">
        <v>6</v>
      </c>
      <c r="AF774" s="1273"/>
      <c r="AG774" s="1273">
        <v>10</v>
      </c>
      <c r="AH774" s="1273"/>
      <c r="AI774" s="1273">
        <v>14</v>
      </c>
      <c r="AJ774" s="1273"/>
      <c r="AK774" s="1273">
        <v>18</v>
      </c>
      <c r="AL774" s="1273"/>
      <c r="AM774" s="1273">
        <v>22</v>
      </c>
      <c r="AN774" s="1273"/>
      <c r="AO774" s="1274">
        <f>SUM(AE775:AN782)</f>
        <v>0</v>
      </c>
      <c r="AP774" s="1275"/>
      <c r="AV774" s="1273">
        <v>6</v>
      </c>
      <c r="AW774" s="1273"/>
      <c r="AX774" s="1273">
        <v>10</v>
      </c>
      <c r="AY774" s="1273"/>
      <c r="AZ774" s="1273">
        <v>14</v>
      </c>
      <c r="BA774" s="1273"/>
      <c r="BB774" s="1273">
        <v>18</v>
      </c>
      <c r="BC774" s="1273"/>
      <c r="BD774" s="1273">
        <v>22</v>
      </c>
      <c r="BE774" s="1273"/>
      <c r="BF774" s="1274">
        <f>SUM(AV775:BE782)</f>
        <v>0</v>
      </c>
      <c r="BG774" s="1275"/>
      <c r="BQ774" s="201"/>
    </row>
    <row r="775" spans="8:69" hidden="1" outlineLevel="1" x14ac:dyDescent="0.15">
      <c r="H775" s="479" t="str">
        <f>H598</f>
        <v>Basilea</v>
      </c>
      <c r="K775" s="480" t="str">
        <f>H760</f>
        <v>Basilea</v>
      </c>
      <c r="R775" s="1277">
        <v>4.8600000000000004E-2</v>
      </c>
      <c r="S775" s="1277"/>
      <c r="T775" s="1277">
        <v>9.9100000000000008E-2</v>
      </c>
      <c r="U775" s="1277"/>
      <c r="V775" s="1277">
        <v>0.1734</v>
      </c>
      <c r="W775" s="1277"/>
      <c r="X775" s="1277">
        <v>0.29959999999999998</v>
      </c>
      <c r="Y775" s="1277"/>
      <c r="Z775" s="1277">
        <v>0.49070000000000003</v>
      </c>
      <c r="AA775" s="1277"/>
      <c r="AE775" s="1268">
        <f>IF($AE$736=$H$772,IF($AE$737=$H$773,IF($AE$738=AE$746,IF($AE$739=$K775,R775,0),0),0),0)</f>
        <v>0</v>
      </c>
      <c r="AF775" s="1268"/>
      <c r="AG775" s="1268">
        <f>IF($AE$736=$H$772,IF($AE$737=$H$773,IF($AE$738=AG$746,IF($AE$739=$K775,T775,0),0),0),0)</f>
        <v>0</v>
      </c>
      <c r="AH775" s="1268"/>
      <c r="AI775" s="1268">
        <f>IF($AE$736=$H$772,IF($AE$737=$H$773,IF($AE$738=AI$746,IF($AE$739=$K775,V775,0),0),0),0)</f>
        <v>0</v>
      </c>
      <c r="AJ775" s="1268"/>
      <c r="AK775" s="1268">
        <f>IF($AE$736=$H$772,IF($AE$737=$H$773,IF($AE$738=AK$746,IF($AE$739=$K775,X775,0),0),0),0)</f>
        <v>0</v>
      </c>
      <c r="AL775" s="1268"/>
      <c r="AM775" s="1268">
        <f>IF($AE$736=$H$772,IF($AE$737=$H$773,IF($AE$738=AM$746,IF($AE$739=$K775,Z775,0),0),0),0)</f>
        <v>0</v>
      </c>
      <c r="AN775" s="1268"/>
      <c r="AV775" s="1268">
        <f>IF($AV$736=$H$772,IF($AV$737=$H$773,IF($AV$738=AV$746,IF($AV$739=$K775,R775,0),0),0),0)</f>
        <v>0</v>
      </c>
      <c r="AW775" s="1268"/>
      <c r="AX775" s="1268">
        <f>IF($AV$736=$H$772,IF($AV$737=$H$773,IF($AV$738=AX$746,IF($AV$739=$K775,T775,0),0),0),0)</f>
        <v>0</v>
      </c>
      <c r="AY775" s="1268"/>
      <c r="AZ775" s="1268">
        <f>IF($AV$736=$H$772,IF($AV$737=$H$773,IF($AV$738=AZ$746,IF($AV$739=$K775,V775,0),0),0),0)</f>
        <v>0</v>
      </c>
      <c r="BA775" s="1268"/>
      <c r="BB775" s="1268">
        <f>IF($AV$736=$H$772,IF($AV$737=$H$773,IF($AV$738=BB$746,IF($AV$739=$K775,X775,0),0),0),0)</f>
        <v>0</v>
      </c>
      <c r="BC775" s="1268"/>
      <c r="BD775" s="1268">
        <f>IF($AV$736=$H$772,IF($AV$737=$H$773,IF($AV$738=BD$746,IF($AV$739=$K775,Z775,0),0),0),0)</f>
        <v>0</v>
      </c>
      <c r="BE775" s="1268"/>
      <c r="BQ775" s="201"/>
    </row>
    <row r="776" spans="8:69" hidden="1" outlineLevel="1" x14ac:dyDescent="0.15">
      <c r="H776" s="479" t="str">
        <f t="shared" ref="H776:H782" si="141">H599</f>
        <v>Berna</v>
      </c>
      <c r="K776" s="480" t="str">
        <f t="shared" ref="K776:K782" si="142">H761</f>
        <v>Berna</v>
      </c>
      <c r="R776" s="1276">
        <v>5.9400000000000001E-2</v>
      </c>
      <c r="S776" s="1276"/>
      <c r="T776" s="1276">
        <v>0.1045</v>
      </c>
      <c r="U776" s="1276"/>
      <c r="V776" s="1276">
        <v>0.17150000000000001</v>
      </c>
      <c r="W776" s="1276"/>
      <c r="X776" s="1276">
        <v>0.30690000000000001</v>
      </c>
      <c r="Y776" s="1276"/>
      <c r="Z776" s="1276">
        <v>0.50581000000000009</v>
      </c>
      <c r="AA776" s="1276"/>
      <c r="AE776" s="1268">
        <f t="shared" ref="AE776:AE780" si="143">IF($AE$736=$H$772,IF($AE$737=$H$773,IF($AE$738=AE$746,IF($AE$739=$K776,R776,0),0),0),0)</f>
        <v>0</v>
      </c>
      <c r="AF776" s="1268"/>
      <c r="AG776" s="1268">
        <f t="shared" ref="AG776:AG780" si="144">IF($AE$736=$H$772,IF($AE$737=$H$773,IF($AE$738=AG$746,IF($AE$739=$K776,T776,0),0),0),0)</f>
        <v>0</v>
      </c>
      <c r="AH776" s="1268"/>
      <c r="AI776" s="1268">
        <f t="shared" ref="AI776:AI780" si="145">IF($AE$736=$H$772,IF($AE$737=$H$773,IF($AE$738=AI$746,IF($AE$739=$K776,V776,0),0),0),0)</f>
        <v>0</v>
      </c>
      <c r="AJ776" s="1268"/>
      <c r="AK776" s="1268">
        <f t="shared" ref="AK776:AK780" si="146">IF($AE$736=$H$772,IF($AE$737=$H$773,IF($AE$738=AK$746,IF($AE$739=$K776,X776,0),0),0),0)</f>
        <v>0</v>
      </c>
      <c r="AL776" s="1268"/>
      <c r="AM776" s="1268">
        <f t="shared" ref="AM776:AM780" si="147">IF($AE$736=$H$772,IF($AE$737=$H$773,IF($AE$738=AM$746,IF($AE$739=$K776,Z776,0),0),0),0)</f>
        <v>0</v>
      </c>
      <c r="AN776" s="1268"/>
      <c r="AV776" s="1268">
        <f t="shared" ref="AV776:AV780" si="148">IF($AV$736=$H$772,IF($AV$737=$H$773,IF($AV$738=AV$746,IF($AV$739=$K776,R776,0),0),0),0)</f>
        <v>0</v>
      </c>
      <c r="AW776" s="1268"/>
      <c r="AX776" s="1268">
        <f t="shared" ref="AX776:AX780" si="149">IF($AV$736=$H$772,IF($AV$737=$H$773,IF($AV$738=AX$746,IF($AV$739=$K776,T776,0),0),0),0)</f>
        <v>0</v>
      </c>
      <c r="AY776" s="1268"/>
      <c r="AZ776" s="1268">
        <f t="shared" ref="AZ776:AZ780" si="150">IF($AV$736=$H$772,IF($AV$737=$H$773,IF($AV$738=AZ$746,IF($AV$739=$K776,V776,0),0),0),0)</f>
        <v>0</v>
      </c>
      <c r="BA776" s="1268"/>
      <c r="BB776" s="1268">
        <f t="shared" ref="BB776:BB780" si="151">IF($AV$736=$H$772,IF($AV$737=$H$773,IF($AV$738=BB$746,IF($AV$739=$K776,X776,0),0),0),0)</f>
        <v>0</v>
      </c>
      <c r="BC776" s="1268"/>
      <c r="BD776" s="1268">
        <f t="shared" ref="BD776:BD780" si="152">IF($AV$736=$H$772,IF($AV$737=$H$773,IF($AV$738=BD$746,IF($AV$739=$K776,Z776,0),0),0),0)</f>
        <v>0</v>
      </c>
      <c r="BE776" s="1268"/>
      <c r="BQ776" s="201"/>
    </row>
    <row r="777" spans="8:69" hidden="1" outlineLevel="1" x14ac:dyDescent="0.15">
      <c r="H777" s="479" t="str">
        <f t="shared" si="141"/>
        <v>Davos</v>
      </c>
      <c r="K777" s="480" t="str">
        <f t="shared" si="142"/>
        <v>Davos</v>
      </c>
      <c r="R777" s="1277">
        <v>0.1134</v>
      </c>
      <c r="S777" s="1277"/>
      <c r="T777" s="1277">
        <v>0.17849999999999999</v>
      </c>
      <c r="U777" s="1277"/>
      <c r="V777" s="1278">
        <v>0.27550000000000002</v>
      </c>
      <c r="W777" s="1278"/>
      <c r="X777" s="1277">
        <v>0.43659999999999999</v>
      </c>
      <c r="Y777" s="1277"/>
      <c r="Z777" s="1277">
        <v>0.628</v>
      </c>
      <c r="AA777" s="1277"/>
      <c r="AE777" s="1268">
        <f t="shared" si="143"/>
        <v>0</v>
      </c>
      <c r="AF777" s="1268"/>
      <c r="AG777" s="1268">
        <f t="shared" si="144"/>
        <v>0</v>
      </c>
      <c r="AH777" s="1268"/>
      <c r="AI777" s="1268">
        <f t="shared" si="145"/>
        <v>0</v>
      </c>
      <c r="AJ777" s="1268"/>
      <c r="AK777" s="1268">
        <f t="shared" si="146"/>
        <v>0</v>
      </c>
      <c r="AL777" s="1268"/>
      <c r="AM777" s="1268">
        <f t="shared" si="147"/>
        <v>0</v>
      </c>
      <c r="AN777" s="1268"/>
      <c r="AV777" s="1268">
        <f t="shared" si="148"/>
        <v>0</v>
      </c>
      <c r="AW777" s="1268"/>
      <c r="AX777" s="1268">
        <f t="shared" si="149"/>
        <v>0</v>
      </c>
      <c r="AY777" s="1268"/>
      <c r="AZ777" s="1268">
        <f t="shared" si="150"/>
        <v>0</v>
      </c>
      <c r="BA777" s="1268"/>
      <c r="BB777" s="1268">
        <f t="shared" si="151"/>
        <v>0</v>
      </c>
      <c r="BC777" s="1268"/>
      <c r="BD777" s="1268">
        <f t="shared" si="152"/>
        <v>0</v>
      </c>
      <c r="BE777" s="1268"/>
      <c r="BQ777" s="201"/>
    </row>
    <row r="778" spans="8:69" hidden="1" outlineLevel="1" x14ac:dyDescent="0.15">
      <c r="H778" s="479" t="str">
        <f t="shared" si="141"/>
        <v>Ginevra</v>
      </c>
      <c r="K778" s="480" t="str">
        <f t="shared" si="142"/>
        <v>Ginevra</v>
      </c>
      <c r="R778" s="1276">
        <v>5.4000000000000006E-2</v>
      </c>
      <c r="S778" s="1276"/>
      <c r="T778" s="1276">
        <v>0.1091</v>
      </c>
      <c r="U778" s="1276"/>
      <c r="V778" s="1276">
        <v>0.17150000000000001</v>
      </c>
      <c r="W778" s="1276"/>
      <c r="X778" s="1276">
        <v>0.28770000000000001</v>
      </c>
      <c r="Y778" s="1276"/>
      <c r="Z778" s="1276">
        <v>0.47610000000000002</v>
      </c>
      <c r="AA778" s="1276"/>
      <c r="AE778" s="1268">
        <f t="shared" si="143"/>
        <v>0</v>
      </c>
      <c r="AF778" s="1268"/>
      <c r="AG778" s="1268">
        <f t="shared" si="144"/>
        <v>0</v>
      </c>
      <c r="AH778" s="1268"/>
      <c r="AI778" s="1268">
        <f t="shared" si="145"/>
        <v>0</v>
      </c>
      <c r="AJ778" s="1268"/>
      <c r="AK778" s="1268">
        <f t="shared" si="146"/>
        <v>0</v>
      </c>
      <c r="AL778" s="1268"/>
      <c r="AM778" s="1268">
        <f t="shared" si="147"/>
        <v>0</v>
      </c>
      <c r="AN778" s="1268"/>
      <c r="AV778" s="1268">
        <f t="shared" si="148"/>
        <v>0</v>
      </c>
      <c r="AW778" s="1268"/>
      <c r="AX778" s="1268">
        <f t="shared" si="149"/>
        <v>0</v>
      </c>
      <c r="AY778" s="1268"/>
      <c r="AZ778" s="1268">
        <f t="shared" si="150"/>
        <v>0</v>
      </c>
      <c r="BA778" s="1268"/>
      <c r="BB778" s="1268">
        <f t="shared" si="151"/>
        <v>0</v>
      </c>
      <c r="BC778" s="1268"/>
      <c r="BD778" s="1268">
        <f t="shared" si="152"/>
        <v>0</v>
      </c>
      <c r="BE778" s="1268"/>
      <c r="BQ778" s="201"/>
    </row>
    <row r="779" spans="8:69" hidden="1" outlineLevel="1" x14ac:dyDescent="0.15">
      <c r="H779" s="479" t="str">
        <f t="shared" si="141"/>
        <v>La-Chaux-de-Fonds</v>
      </c>
      <c r="K779" s="480" t="str">
        <f t="shared" si="142"/>
        <v>La-Chaux-de-Fonds</v>
      </c>
      <c r="R779" s="1276">
        <v>8.516E-2</v>
      </c>
      <c r="S779" s="1276"/>
      <c r="T779" s="1276">
        <v>0.14055000000000001</v>
      </c>
      <c r="U779" s="1276"/>
      <c r="V779" s="1276">
        <v>0.21879000000000001</v>
      </c>
      <c r="W779" s="1276"/>
      <c r="X779" s="1276">
        <v>0.36221999999999999</v>
      </c>
      <c r="Y779" s="1276"/>
      <c r="Z779" s="1276">
        <v>0.57902000000000009</v>
      </c>
      <c r="AA779" s="1276"/>
      <c r="AE779" s="1268">
        <f t="shared" si="143"/>
        <v>0</v>
      </c>
      <c r="AF779" s="1268"/>
      <c r="AG779" s="1268">
        <f t="shared" si="144"/>
        <v>0</v>
      </c>
      <c r="AH779" s="1268"/>
      <c r="AI779" s="1268">
        <f t="shared" si="145"/>
        <v>0</v>
      </c>
      <c r="AJ779" s="1268"/>
      <c r="AK779" s="1268">
        <f t="shared" si="146"/>
        <v>0</v>
      </c>
      <c r="AL779" s="1268"/>
      <c r="AM779" s="1268">
        <f t="shared" si="147"/>
        <v>0</v>
      </c>
      <c r="AN779" s="1268"/>
      <c r="AV779" s="1268">
        <f t="shared" si="148"/>
        <v>0</v>
      </c>
      <c r="AW779" s="1268"/>
      <c r="AX779" s="1268">
        <f t="shared" si="149"/>
        <v>0</v>
      </c>
      <c r="AY779" s="1268"/>
      <c r="AZ779" s="1268">
        <f t="shared" si="150"/>
        <v>0</v>
      </c>
      <c r="BA779" s="1268"/>
      <c r="BB779" s="1268">
        <f t="shared" si="151"/>
        <v>0</v>
      </c>
      <c r="BC779" s="1268"/>
      <c r="BD779" s="1268">
        <f t="shared" si="152"/>
        <v>0</v>
      </c>
      <c r="BE779" s="1268"/>
      <c r="BQ779" s="201"/>
    </row>
    <row r="780" spans="8:69" hidden="1" outlineLevel="1" x14ac:dyDescent="0.15">
      <c r="H780" s="479" t="str">
        <f t="shared" si="141"/>
        <v>Lugano</v>
      </c>
      <c r="K780" s="480" t="str">
        <f t="shared" si="142"/>
        <v>Lugano</v>
      </c>
      <c r="R780" s="1277">
        <v>2.1600000000000001E-2</v>
      </c>
      <c r="S780" s="1277"/>
      <c r="T780" s="1277">
        <v>4.5100000000000008E-2</v>
      </c>
      <c r="U780" s="1277"/>
      <c r="V780" s="1277">
        <v>0.12990000000000002</v>
      </c>
      <c r="W780" s="1277"/>
      <c r="X780" s="1277">
        <v>0.2288</v>
      </c>
      <c r="Y780" s="1277"/>
      <c r="Z780" s="1277">
        <v>0.40799999999999997</v>
      </c>
      <c r="AA780" s="1277"/>
      <c r="AE780" s="1268">
        <f t="shared" si="143"/>
        <v>0</v>
      </c>
      <c r="AF780" s="1268"/>
      <c r="AG780" s="1268">
        <f t="shared" si="144"/>
        <v>0</v>
      </c>
      <c r="AH780" s="1268"/>
      <c r="AI780" s="1268">
        <f t="shared" si="145"/>
        <v>0</v>
      </c>
      <c r="AJ780" s="1268"/>
      <c r="AK780" s="1268">
        <f t="shared" si="146"/>
        <v>0</v>
      </c>
      <c r="AL780" s="1268"/>
      <c r="AM780" s="1268">
        <f t="shared" si="147"/>
        <v>0</v>
      </c>
      <c r="AN780" s="1268"/>
      <c r="AV780" s="1268">
        <f t="shared" si="148"/>
        <v>0</v>
      </c>
      <c r="AW780" s="1268"/>
      <c r="AX780" s="1268">
        <f t="shared" si="149"/>
        <v>0</v>
      </c>
      <c r="AY780" s="1268"/>
      <c r="AZ780" s="1268">
        <f t="shared" si="150"/>
        <v>0</v>
      </c>
      <c r="BA780" s="1268"/>
      <c r="BB780" s="1268">
        <f t="shared" si="151"/>
        <v>0</v>
      </c>
      <c r="BC780" s="1268"/>
      <c r="BD780" s="1268">
        <f t="shared" si="152"/>
        <v>0</v>
      </c>
      <c r="BE780" s="1268"/>
      <c r="BQ780" s="201"/>
    </row>
    <row r="781" spans="8:69" hidden="1" outlineLevel="1" x14ac:dyDescent="0.15">
      <c r="H781" s="479" t="str">
        <f t="shared" si="141"/>
        <v>San Gallo</v>
      </c>
      <c r="K781" s="480" t="str">
        <f t="shared" si="142"/>
        <v>San Gallo</v>
      </c>
      <c r="R781" s="1277">
        <v>7.2900000000000006E-2</v>
      </c>
      <c r="S781" s="1277"/>
      <c r="T781" s="1277">
        <v>0.128</v>
      </c>
      <c r="U781" s="1277"/>
      <c r="V781" s="1277">
        <v>0.21959999999999999</v>
      </c>
      <c r="W781" s="1277"/>
      <c r="X781" s="1277">
        <v>0.375</v>
      </c>
      <c r="Y781" s="1277"/>
      <c r="Z781" s="1277">
        <v>0.58135999999999999</v>
      </c>
      <c r="AA781" s="1277"/>
      <c r="AE781" s="1268">
        <f>IF($AE$736=$H$744,IF($AE$737=$H$745,IF($AE$738=AE$746,IF($AE$739=$K781,R781,0),0),0),0)</f>
        <v>0</v>
      </c>
      <c r="AF781" s="1268"/>
      <c r="AG781" s="1268">
        <f>IF($AE$736=$H$744,IF($AE$737=$H$745,IF($AE$738=AG$746,IF($AE$739=$K781,T781,0),0),0),0)</f>
        <v>0</v>
      </c>
      <c r="AH781" s="1268"/>
      <c r="AI781" s="1268">
        <f>IF($AE$736=$H$744,IF($AE$737=$H$745,IF($AE$738=AI$746,IF($AE$739=$K781,V781,0),0),0),0)</f>
        <v>0</v>
      </c>
      <c r="AJ781" s="1268"/>
      <c r="AK781" s="1268">
        <f>IF($AE$736=$H$744,IF($AE$737=$H$745,IF($AE$738=AK$746,IF($AE$739=$K781,X781,0),0),0),0)</f>
        <v>0</v>
      </c>
      <c r="AL781" s="1268"/>
      <c r="AM781" s="1268">
        <f>IF($AE$736=$H$744,IF($AE$737=$H$745,IF($AE$738=AM$746,IF($AE$739=$K781,Z781,0),0),0),0)</f>
        <v>0</v>
      </c>
      <c r="AN781" s="1268"/>
      <c r="AV781" s="1268">
        <f>IF($AV$736=$H$772,IF($AV$737=$H$773,IF($AV$738=AV$746,IF($AV$739=$K781,R781,0),0),0),0)</f>
        <v>0</v>
      </c>
      <c r="AW781" s="1268"/>
      <c r="AX781" s="1268">
        <f>IF($AV$736=$H$772,IF($AV$737=$H$773,IF($AV$738=AX$746,IF($AV$739=$K781,T781,0),0),0),0)</f>
        <v>0</v>
      </c>
      <c r="AY781" s="1268"/>
      <c r="AZ781" s="1268">
        <f>IF($AV$736=$H$772,IF($AV$737=$H$773,IF($AV$738=AZ$746,IF($AV$739=$K781,V781,0),0),0),0)</f>
        <v>0</v>
      </c>
      <c r="BA781" s="1268"/>
      <c r="BB781" s="1268">
        <f>IF($AV$736=$H$772,IF($AV$737=$H$773,IF($AV$738=BB$746,IF($AV$739=$K781,X781,0),0),0),0)</f>
        <v>0</v>
      </c>
      <c r="BC781" s="1268"/>
      <c r="BD781" s="1268">
        <f>IF($AV$736=$H$772,IF($AV$737=$H$773,IF($AV$738=BD$746,IF($AV$739=$K781,Z781,0),0),0),0)</f>
        <v>0</v>
      </c>
      <c r="BE781" s="1268"/>
      <c r="BQ781" s="201"/>
    </row>
    <row r="782" spans="8:69" hidden="1" outlineLevel="1" x14ac:dyDescent="0.15">
      <c r="H782" s="479" t="str">
        <f t="shared" si="141"/>
        <v>Zurigo</v>
      </c>
      <c r="K782" s="480" t="str">
        <f t="shared" si="142"/>
        <v>Zurigo</v>
      </c>
      <c r="R782" s="1277">
        <v>5.9400000000000001E-2</v>
      </c>
      <c r="S782" s="1277"/>
      <c r="T782" s="1277">
        <v>9.9900000000000003E-2</v>
      </c>
      <c r="U782" s="1277"/>
      <c r="V782" s="1277">
        <v>0.18230000000000002</v>
      </c>
      <c r="W782" s="1277"/>
      <c r="X782" s="1277">
        <v>0.29770000000000002</v>
      </c>
      <c r="Y782" s="1277"/>
      <c r="Z782" s="1277">
        <v>0.48880000000000001</v>
      </c>
      <c r="AA782" s="1277"/>
      <c r="AE782" s="1268">
        <f>IF($AE$736=$H$744,IF($AE$737=$H$745,IF($AE$738=AE$746,IF($AE$739=$K782,R782,0),0),0),0)</f>
        <v>0</v>
      </c>
      <c r="AF782" s="1268"/>
      <c r="AG782" s="1268">
        <f>IF($AE$736=$H$744,IF($AE$737=$H$745,IF($AE$738=AG$746,IF($AE$739=$K782,T782,0),0),0),0)</f>
        <v>0</v>
      </c>
      <c r="AH782" s="1268"/>
      <c r="AI782" s="1268">
        <f>IF($AE$736=$H$744,IF($AE$737=$H$745,IF($AE$738=AI$746,IF($AE$739=$K782,V782,0),0),0),0)</f>
        <v>0</v>
      </c>
      <c r="AJ782" s="1268"/>
      <c r="AK782" s="1268">
        <f>IF($AE$736=$H$744,IF($AE$737=$H$745,IF($AE$738=AK$746,IF($AE$739=$K782,X782,0),0),0),0)</f>
        <v>0</v>
      </c>
      <c r="AL782" s="1268"/>
      <c r="AM782" s="1268">
        <f>IF($AE$736=$H$744,IF($AE$737=$H$745,IF($AE$738=AM$746,IF($AE$739=$K782,Z782,0),0),0),0)</f>
        <v>0</v>
      </c>
      <c r="AN782" s="1268"/>
      <c r="AV782" s="1268">
        <f>IF($AV$736=$H$772,IF($AV$737=$H$773,IF($AV$738=AV$746,IF($AV$739=$K782,R782,0),0),0),0)</f>
        <v>0</v>
      </c>
      <c r="AW782" s="1268"/>
      <c r="AX782" s="1268">
        <f>IF($AV$736=$H$772,IF($AV$737=$H$773,IF($AV$738=AX$746,IF($AV$739=$K782,T782,0),0),0),0)</f>
        <v>0</v>
      </c>
      <c r="AY782" s="1268"/>
      <c r="AZ782" s="1268">
        <f>IF($AV$736=$H$772,IF($AV$737=$H$773,IF($AV$738=AZ$746,IF($AV$739=$K782,V782,0),0),0),0)</f>
        <v>0</v>
      </c>
      <c r="BA782" s="1268"/>
      <c r="BB782" s="1268">
        <f>IF($AV$736=$H$772,IF($AV$737=$H$773,IF($AV$738=BB$746,IF($AV$739=$K782,X782,0),0),0),0)</f>
        <v>0</v>
      </c>
      <c r="BC782" s="1268"/>
      <c r="BD782" s="1268">
        <f>IF($AV$736=$H$772,IF($AV$737=$H$773,IF($AV$738=BD$746,IF($AV$739=$K782,Z782,0),0),0),0)</f>
        <v>0</v>
      </c>
      <c r="BE782" s="1268"/>
      <c r="BQ782" s="201"/>
    </row>
    <row r="783" spans="8:69" hidden="1" outlineLevel="1" x14ac:dyDescent="0.15">
      <c r="H783"/>
      <c r="U783"/>
      <c r="BQ783" s="201"/>
    </row>
    <row r="784" spans="8:69" hidden="1" outlineLevel="1" x14ac:dyDescent="0.15">
      <c r="H784" t="str">
        <f>H770</f>
        <v>B: Impianto con 3'500 ore di funz. a pieno regime all'anno</v>
      </c>
      <c r="U784"/>
      <c r="BQ784" s="201"/>
    </row>
    <row r="785" spans="8:69" hidden="1" outlineLevel="1" x14ac:dyDescent="0.15">
      <c r="H785" s="483" t="str">
        <f>X$495</f>
        <v>Ibrido</v>
      </c>
      <c r="R785" s="1269" t="s">
        <v>788</v>
      </c>
      <c r="S785" s="1269"/>
      <c r="T785" s="1269"/>
      <c r="U785" s="1269"/>
      <c r="V785" s="1269"/>
      <c r="W785" s="1269"/>
      <c r="X785" s="1269"/>
      <c r="Y785" s="1269"/>
      <c r="Z785" s="1269"/>
      <c r="AA785" s="1269"/>
      <c r="AE785" s="1269" t="s">
        <v>788</v>
      </c>
      <c r="AF785" s="1269"/>
      <c r="AG785" s="1269"/>
      <c r="AH785" s="1269"/>
      <c r="AI785" s="1269"/>
      <c r="AJ785" s="1269"/>
      <c r="AK785" s="1269"/>
      <c r="AL785" s="1269"/>
      <c r="AM785" s="1269"/>
      <c r="AN785" s="1269"/>
      <c r="AV785" s="1269" t="s">
        <v>788</v>
      </c>
      <c r="AW785" s="1269"/>
      <c r="AX785" s="1269"/>
      <c r="AY785" s="1269"/>
      <c r="AZ785" s="1269"/>
      <c r="BA785" s="1269"/>
      <c r="BB785" s="1269"/>
      <c r="BC785" s="1269"/>
      <c r="BD785" s="1269"/>
      <c r="BE785" s="1269"/>
      <c r="BQ785" s="201"/>
    </row>
    <row r="786" spans="8:69" hidden="1" outlineLevel="1" x14ac:dyDescent="0.15">
      <c r="H786"/>
      <c r="R786" s="1269">
        <v>6</v>
      </c>
      <c r="S786" s="1269"/>
      <c r="T786" s="1269">
        <v>10</v>
      </c>
      <c r="U786" s="1269"/>
      <c r="V786" s="1269">
        <v>14</v>
      </c>
      <c r="W786" s="1269"/>
      <c r="X786" s="1269">
        <v>18</v>
      </c>
      <c r="Y786" s="1269"/>
      <c r="Z786" s="1269">
        <v>22</v>
      </c>
      <c r="AA786" s="1269"/>
      <c r="AE786" s="1269">
        <v>6</v>
      </c>
      <c r="AF786" s="1269"/>
      <c r="AG786" s="1269">
        <v>10</v>
      </c>
      <c r="AH786" s="1269"/>
      <c r="AI786" s="1269">
        <v>14</v>
      </c>
      <c r="AJ786" s="1269"/>
      <c r="AK786" s="1269">
        <v>18</v>
      </c>
      <c r="AL786" s="1269"/>
      <c r="AM786" s="1269">
        <v>22</v>
      </c>
      <c r="AN786" s="1269"/>
      <c r="AO786" s="1274">
        <f>SUM(AE787:AN794)</f>
        <v>0</v>
      </c>
      <c r="AP786" s="1275"/>
      <c r="AV786" s="1269">
        <v>6</v>
      </c>
      <c r="AW786" s="1269"/>
      <c r="AX786" s="1269">
        <v>10</v>
      </c>
      <c r="AY786" s="1269"/>
      <c r="AZ786" s="1269">
        <v>14</v>
      </c>
      <c r="BA786" s="1269"/>
      <c r="BB786" s="1269">
        <v>18</v>
      </c>
      <c r="BC786" s="1269"/>
      <c r="BD786" s="1269">
        <v>22</v>
      </c>
      <c r="BE786" s="1269"/>
      <c r="BF786" s="1274">
        <f>SUM(AV787:BE794)</f>
        <v>0</v>
      </c>
      <c r="BG786" s="1275"/>
      <c r="BQ786" s="201"/>
    </row>
    <row r="787" spans="8:69" hidden="1" outlineLevel="1" x14ac:dyDescent="0.15">
      <c r="H787" s="479" t="str">
        <f>H598</f>
        <v>Basilea</v>
      </c>
      <c r="K787" s="480" t="str">
        <f>H760</f>
        <v>Basilea</v>
      </c>
      <c r="R787" s="1277">
        <v>5.1300000000000005E-2</v>
      </c>
      <c r="S787" s="1277"/>
      <c r="T787" s="1277">
        <v>0.1045</v>
      </c>
      <c r="U787" s="1277"/>
      <c r="V787" s="1277">
        <v>0.22340000000000002</v>
      </c>
      <c r="W787" s="1277"/>
      <c r="X787" s="1277">
        <v>0.44989999999999997</v>
      </c>
      <c r="Y787" s="1277"/>
      <c r="Z787" s="1277">
        <v>0.71210000000000007</v>
      </c>
      <c r="AA787" s="1277"/>
      <c r="AE787" s="1268">
        <f>IF($AE$736=$H$784,IF($AE$737=$H$785,IF($AE$738=AE$746,IF($AE$739=$K787,R787,0),0),0),0)</f>
        <v>0</v>
      </c>
      <c r="AF787" s="1268"/>
      <c r="AG787" s="1268">
        <f>IF($AE$736=$H$784,IF($AE$737=$H$785,IF($AE$738=AG$746,IF($AE$739=$K787,T787,0),0),0),0)</f>
        <v>0</v>
      </c>
      <c r="AH787" s="1268"/>
      <c r="AI787" s="1268">
        <f>IF($AE$736=$H$784,IF($AE$737=$H$785,IF($AE$738=AI$746,IF($AE$739=$K787,V787,0),0),0),0)</f>
        <v>0</v>
      </c>
      <c r="AJ787" s="1268"/>
      <c r="AK787" s="1268">
        <f>IF($AE$736=$H$784,IF($AE$737=$H$785,IF($AE$738=AK$746,IF($AE$739=$K787,X787,0),0),0),0)</f>
        <v>0</v>
      </c>
      <c r="AL787" s="1268"/>
      <c r="AM787" s="1268">
        <f>IF($AE$736=$H$784,IF($AE$737=$H$785,IF($AE$738=AM$746,IF($AE$739=$K787,Z787,0),0),0),0)</f>
        <v>0</v>
      </c>
      <c r="AN787" s="1268"/>
      <c r="AV787" s="1268">
        <f>IF($AV$736=$H$784,IF($AV$737=$H$785,IF($AV$738=AV$746,IF($AV$739=$K787,R787,0),0),0),0)</f>
        <v>0</v>
      </c>
      <c r="AW787" s="1268"/>
      <c r="AX787" s="1268">
        <f>IF($AV$736=$H$784,IF($AV$737=$H$785,IF($AV$738=AX$746,IF($AV$739=$K787,T787,0),0),0),0)</f>
        <v>0</v>
      </c>
      <c r="AY787" s="1268"/>
      <c r="AZ787" s="1268">
        <f>IF($AV$736=$H$784,IF($AV$737=$H$785,IF($AV$738=AZ$746,IF($AV$739=$K787,V787,0),0),0),0)</f>
        <v>0</v>
      </c>
      <c r="BA787" s="1268"/>
      <c r="BB787" s="1268">
        <f>IF($AV$736=$H$784,IF($AV$737=$H$785,IF($AV$738=BB$746,IF($AV$739=$K787,X787,0),0),0),0)</f>
        <v>0</v>
      </c>
      <c r="BC787" s="1268"/>
      <c r="BD787" s="1268">
        <f>IF($AV$736=$H$784,IF($AV$737=$H$785,IF($AV$738=BD$746,IF($AV$739=$K787,Z787,0),0),0),0)</f>
        <v>0</v>
      </c>
      <c r="BE787" s="1268"/>
      <c r="BQ787" s="201"/>
    </row>
    <row r="788" spans="8:69" hidden="1" outlineLevel="1" x14ac:dyDescent="0.15">
      <c r="H788" s="479" t="str">
        <f t="shared" ref="H788:H794" si="153">H599</f>
        <v>Berna</v>
      </c>
      <c r="K788" s="480" t="str">
        <f t="shared" ref="K788:K794" si="154">H761</f>
        <v>Berna</v>
      </c>
      <c r="R788" s="1276">
        <v>6.2100000000000009E-2</v>
      </c>
      <c r="S788" s="1276"/>
      <c r="T788" s="1276">
        <v>0.11990000000000001</v>
      </c>
      <c r="U788" s="1276"/>
      <c r="V788" s="1276">
        <v>0.24610000000000004</v>
      </c>
      <c r="W788" s="1276"/>
      <c r="X788" s="1276">
        <v>0.50639999999999996</v>
      </c>
      <c r="Y788" s="1276"/>
      <c r="Z788" s="1276">
        <v>0.76129999999999998</v>
      </c>
      <c r="AA788" s="1276"/>
      <c r="AE788" s="1268">
        <f t="shared" ref="AE788:AE792" si="155">IF($AE$736=$H$784,IF($AE$737=$H$785,IF($AE$738=AE$746,IF($AE$739=$K788,R788,0),0),0),0)</f>
        <v>0</v>
      </c>
      <c r="AF788" s="1268"/>
      <c r="AG788" s="1268">
        <f t="shared" ref="AG788:AG792" si="156">IF($AE$736=$H$784,IF($AE$737=$H$785,IF($AE$738=AG$746,IF($AE$739=$K788,T788,0),0),0),0)</f>
        <v>0</v>
      </c>
      <c r="AH788" s="1268"/>
      <c r="AI788" s="1268">
        <f t="shared" ref="AI788:AI792" si="157">IF($AE$736=$H$784,IF($AE$737=$H$785,IF($AE$738=AI$746,IF($AE$739=$K788,V788,0),0),0),0)</f>
        <v>0</v>
      </c>
      <c r="AJ788" s="1268"/>
      <c r="AK788" s="1268">
        <f t="shared" ref="AK788:AK792" si="158">IF($AE$736=$H$784,IF($AE$737=$H$785,IF($AE$738=AK$746,IF($AE$739=$K788,X788,0),0),0),0)</f>
        <v>0</v>
      </c>
      <c r="AL788" s="1268"/>
      <c r="AM788" s="1268">
        <f t="shared" ref="AM788:AM792" si="159">IF($AE$736=$H$784,IF($AE$737=$H$785,IF($AE$738=AM$746,IF($AE$739=$K788,Z788,0),0),0),0)</f>
        <v>0</v>
      </c>
      <c r="AN788" s="1268"/>
      <c r="AV788" s="1268">
        <f t="shared" ref="AV788:AV792" si="160">IF($AV$736=$H$784,IF($AV$737=$H$785,IF($AV$738=AV$746,IF($AV$739=$K788,R788,0),0),0),0)</f>
        <v>0</v>
      </c>
      <c r="AW788" s="1268"/>
      <c r="AX788" s="1268">
        <f t="shared" ref="AX788:AX792" si="161">IF($AV$736=$H$784,IF($AV$737=$H$785,IF($AV$738=AX$746,IF($AV$739=$K788,T788,0),0),0),0)</f>
        <v>0</v>
      </c>
      <c r="AY788" s="1268"/>
      <c r="AZ788" s="1268">
        <f t="shared" ref="AZ788:AZ792" si="162">IF($AV$736=$H$784,IF($AV$737=$H$785,IF($AV$738=AZ$746,IF($AV$739=$K788,V788,0),0),0),0)</f>
        <v>0</v>
      </c>
      <c r="BA788" s="1268"/>
      <c r="BB788" s="1268">
        <f t="shared" ref="BB788:BB792" si="163">IF($AV$736=$H$784,IF($AV$737=$H$785,IF($AV$738=BB$746,IF($AV$739=$K788,X788,0),0),0),0)</f>
        <v>0</v>
      </c>
      <c r="BC788" s="1268"/>
      <c r="BD788" s="1268">
        <f t="shared" ref="BD788:BD792" si="164">IF($AV$736=$H$784,IF($AV$737=$H$785,IF($AV$738=BD$746,IF($AV$739=$K788,Z788,0),0),0),0)</f>
        <v>0</v>
      </c>
      <c r="BE788" s="1268"/>
      <c r="BQ788" s="201"/>
    </row>
    <row r="789" spans="8:69" hidden="1" outlineLevel="1" x14ac:dyDescent="0.15">
      <c r="H789" s="479" t="str">
        <f t="shared" si="153"/>
        <v>Davos</v>
      </c>
      <c r="K789" s="480" t="str">
        <f t="shared" si="154"/>
        <v>Davos</v>
      </c>
      <c r="R789" s="1277">
        <v>0.1288</v>
      </c>
      <c r="S789" s="1277"/>
      <c r="T789" s="1277">
        <v>0.20390000000000003</v>
      </c>
      <c r="U789" s="1277"/>
      <c r="V789" s="1278">
        <v>0.435</v>
      </c>
      <c r="W789" s="1278"/>
      <c r="X789" s="1277">
        <v>0.6956</v>
      </c>
      <c r="Y789" s="1277"/>
      <c r="Z789" s="1277">
        <v>0.76749999999999996</v>
      </c>
      <c r="AA789" s="1277"/>
      <c r="AE789" s="1268">
        <f t="shared" si="155"/>
        <v>0</v>
      </c>
      <c r="AF789" s="1268"/>
      <c r="AG789" s="1268">
        <f t="shared" si="156"/>
        <v>0</v>
      </c>
      <c r="AH789" s="1268"/>
      <c r="AI789" s="1268">
        <f t="shared" si="157"/>
        <v>0</v>
      </c>
      <c r="AJ789" s="1268"/>
      <c r="AK789" s="1268">
        <f t="shared" si="158"/>
        <v>0</v>
      </c>
      <c r="AL789" s="1268"/>
      <c r="AM789" s="1268">
        <f t="shared" si="159"/>
        <v>0</v>
      </c>
      <c r="AN789" s="1268"/>
      <c r="AV789" s="1268">
        <f t="shared" si="160"/>
        <v>0</v>
      </c>
      <c r="AW789" s="1268"/>
      <c r="AX789" s="1268">
        <f t="shared" si="161"/>
        <v>0</v>
      </c>
      <c r="AY789" s="1268"/>
      <c r="AZ789" s="1268">
        <f t="shared" si="162"/>
        <v>0</v>
      </c>
      <c r="BA789" s="1268"/>
      <c r="BB789" s="1268">
        <f t="shared" si="163"/>
        <v>0</v>
      </c>
      <c r="BC789" s="1268"/>
      <c r="BD789" s="1268">
        <f t="shared" si="164"/>
        <v>0</v>
      </c>
      <c r="BE789" s="1268"/>
      <c r="BQ789" s="201"/>
    </row>
    <row r="790" spans="8:69" hidden="1" outlineLevel="1" x14ac:dyDescent="0.15">
      <c r="H790" s="479" t="str">
        <f t="shared" si="153"/>
        <v>Ginevra</v>
      </c>
      <c r="K790" s="480" t="str">
        <f t="shared" si="154"/>
        <v>Ginevra</v>
      </c>
      <c r="R790" s="1276">
        <v>5.67E-2</v>
      </c>
      <c r="S790" s="1276"/>
      <c r="T790" s="1276">
        <v>0.1045</v>
      </c>
      <c r="U790" s="1276"/>
      <c r="V790" s="1276">
        <v>0.22340000000000002</v>
      </c>
      <c r="W790" s="1276"/>
      <c r="X790" s="1276">
        <v>0.4572</v>
      </c>
      <c r="Y790" s="1276"/>
      <c r="Z790" s="1276">
        <v>0.71210000000000007</v>
      </c>
      <c r="AA790" s="1276"/>
      <c r="AE790" s="1268">
        <f t="shared" si="155"/>
        <v>0</v>
      </c>
      <c r="AF790" s="1268"/>
      <c r="AG790" s="1268">
        <f t="shared" si="156"/>
        <v>0</v>
      </c>
      <c r="AH790" s="1268"/>
      <c r="AI790" s="1268">
        <f t="shared" si="157"/>
        <v>0</v>
      </c>
      <c r="AJ790" s="1268"/>
      <c r="AK790" s="1268">
        <f t="shared" si="158"/>
        <v>0</v>
      </c>
      <c r="AL790" s="1268"/>
      <c r="AM790" s="1268">
        <f t="shared" si="159"/>
        <v>0</v>
      </c>
      <c r="AN790" s="1268"/>
      <c r="AV790" s="1268">
        <f t="shared" si="160"/>
        <v>0</v>
      </c>
      <c r="AW790" s="1268"/>
      <c r="AX790" s="1268">
        <f t="shared" si="161"/>
        <v>0</v>
      </c>
      <c r="AY790" s="1268"/>
      <c r="AZ790" s="1268">
        <f t="shared" si="162"/>
        <v>0</v>
      </c>
      <c r="BA790" s="1268"/>
      <c r="BB790" s="1268">
        <f t="shared" si="163"/>
        <v>0</v>
      </c>
      <c r="BC790" s="1268"/>
      <c r="BD790" s="1268">
        <f t="shared" si="164"/>
        <v>0</v>
      </c>
      <c r="BE790" s="1268"/>
      <c r="BQ790" s="201"/>
    </row>
    <row r="791" spans="8:69" hidden="1" outlineLevel="1" x14ac:dyDescent="0.15">
      <c r="H791" s="479" t="str">
        <f t="shared" si="153"/>
        <v>La-Chaux-de-Fonds</v>
      </c>
      <c r="K791" s="480" t="str">
        <f t="shared" si="154"/>
        <v>La-Chaux-de-Fonds</v>
      </c>
      <c r="R791" s="1276">
        <v>8.3700000000000011E-2</v>
      </c>
      <c r="S791" s="1276"/>
      <c r="T791" s="1276">
        <v>0.14959999999999998</v>
      </c>
      <c r="U791" s="1276"/>
      <c r="V791" s="1276">
        <v>0.29039999999999999</v>
      </c>
      <c r="W791" s="1276"/>
      <c r="X791" s="1276">
        <v>0.55530000000000002</v>
      </c>
      <c r="Y791" s="1276"/>
      <c r="Z791" s="1276">
        <v>0.77939999999999998</v>
      </c>
      <c r="AA791" s="1276"/>
      <c r="AE791" s="1268">
        <f t="shared" si="155"/>
        <v>0</v>
      </c>
      <c r="AF791" s="1268"/>
      <c r="AG791" s="1268">
        <f t="shared" si="156"/>
        <v>0</v>
      </c>
      <c r="AH791" s="1268"/>
      <c r="AI791" s="1268">
        <f t="shared" si="157"/>
        <v>0</v>
      </c>
      <c r="AJ791" s="1268"/>
      <c r="AK791" s="1268">
        <f t="shared" si="158"/>
        <v>0</v>
      </c>
      <c r="AL791" s="1268"/>
      <c r="AM791" s="1268">
        <f t="shared" si="159"/>
        <v>0</v>
      </c>
      <c r="AN791" s="1268"/>
      <c r="AV791" s="1268">
        <f t="shared" si="160"/>
        <v>0</v>
      </c>
      <c r="AW791" s="1268"/>
      <c r="AX791" s="1268">
        <f t="shared" si="161"/>
        <v>0</v>
      </c>
      <c r="AY791" s="1268"/>
      <c r="AZ791" s="1268">
        <f t="shared" si="162"/>
        <v>0</v>
      </c>
      <c r="BA791" s="1268"/>
      <c r="BB791" s="1268">
        <f t="shared" si="163"/>
        <v>0</v>
      </c>
      <c r="BC791" s="1268"/>
      <c r="BD791" s="1268">
        <f t="shared" si="164"/>
        <v>0</v>
      </c>
      <c r="BE791" s="1268"/>
      <c r="BQ791" s="201"/>
    </row>
    <row r="792" spans="8:69" hidden="1" outlineLevel="1" x14ac:dyDescent="0.15">
      <c r="H792" s="479" t="str">
        <f t="shared" si="153"/>
        <v>Lugano</v>
      </c>
      <c r="K792" s="480" t="str">
        <f t="shared" si="154"/>
        <v>Lugano</v>
      </c>
      <c r="R792" s="1277">
        <v>3.2399999999999998E-2</v>
      </c>
      <c r="S792" s="1277"/>
      <c r="T792" s="1277">
        <v>9.5600000000000004E-2</v>
      </c>
      <c r="U792" s="1277"/>
      <c r="V792" s="1277">
        <v>0.17530000000000001</v>
      </c>
      <c r="W792" s="1277"/>
      <c r="X792" s="1277">
        <v>0.36720000000000003</v>
      </c>
      <c r="Y792" s="1277"/>
      <c r="Z792" s="1277">
        <v>0.59830000000000005</v>
      </c>
      <c r="AA792" s="1277"/>
      <c r="AE792" s="1268">
        <f t="shared" si="155"/>
        <v>0</v>
      </c>
      <c r="AF792" s="1268"/>
      <c r="AG792" s="1268">
        <f t="shared" si="156"/>
        <v>0</v>
      </c>
      <c r="AH792" s="1268"/>
      <c r="AI792" s="1268">
        <f t="shared" si="157"/>
        <v>0</v>
      </c>
      <c r="AJ792" s="1268"/>
      <c r="AK792" s="1268">
        <f t="shared" si="158"/>
        <v>0</v>
      </c>
      <c r="AL792" s="1268"/>
      <c r="AM792" s="1268">
        <f t="shared" si="159"/>
        <v>0</v>
      </c>
      <c r="AN792" s="1268"/>
      <c r="AV792" s="1268">
        <f t="shared" si="160"/>
        <v>0</v>
      </c>
      <c r="AW792" s="1268"/>
      <c r="AX792" s="1268">
        <f t="shared" si="161"/>
        <v>0</v>
      </c>
      <c r="AY792" s="1268"/>
      <c r="AZ792" s="1268">
        <f t="shared" si="162"/>
        <v>0</v>
      </c>
      <c r="BA792" s="1268"/>
      <c r="BB792" s="1268">
        <f t="shared" si="163"/>
        <v>0</v>
      </c>
      <c r="BC792" s="1268"/>
      <c r="BD792" s="1268">
        <f t="shared" si="164"/>
        <v>0</v>
      </c>
      <c r="BE792" s="1268"/>
      <c r="BQ792" s="201"/>
    </row>
    <row r="793" spans="8:69" hidden="1" outlineLevel="1" x14ac:dyDescent="0.15">
      <c r="H793" s="479" t="str">
        <f t="shared" si="153"/>
        <v>San Gallo</v>
      </c>
      <c r="K793" s="480" t="str">
        <f t="shared" si="154"/>
        <v>San Gallo</v>
      </c>
      <c r="R793" s="1277">
        <v>7.2900000000000006E-2</v>
      </c>
      <c r="S793" s="1277"/>
      <c r="T793" s="1277">
        <v>0.14340000000000003</v>
      </c>
      <c r="U793" s="1277"/>
      <c r="V793" s="1277">
        <v>0.26960000000000001</v>
      </c>
      <c r="W793" s="1277"/>
      <c r="X793" s="1277">
        <v>0.52990000000000004</v>
      </c>
      <c r="Y793" s="1277"/>
      <c r="Z793" s="1277">
        <v>0.75480000000000003</v>
      </c>
      <c r="AA793" s="1277"/>
      <c r="AE793" s="1268">
        <f>IF($AE$736=$H$784,IF($AE$737=$H$785,IF($AE$738=AE$746,IF($AE$739=$K793,R793,0),0),0),0)</f>
        <v>0</v>
      </c>
      <c r="AF793" s="1268"/>
      <c r="AG793" s="1268">
        <f>IF($AE$736=$H$784,IF($AE$737=$H$785,IF($AE$738=AG$746,IF($AE$739=$K793,T793,0),0),0),0)</f>
        <v>0</v>
      </c>
      <c r="AH793" s="1268"/>
      <c r="AI793" s="1268">
        <f>IF($AE$736=$H$784,IF($AE$737=$H$785,IF($AE$738=AI$746,IF($AE$739=$K793,V793,0),0),0),0)</f>
        <v>0</v>
      </c>
      <c r="AJ793" s="1268"/>
      <c r="AK793" s="1268">
        <f>IF($AE$736=$H$784,IF($AE$737=$H$785,IF($AE$738=AK$746,IF($AE$739=$K793,X793,0),0),0),0)</f>
        <v>0</v>
      </c>
      <c r="AL793" s="1268"/>
      <c r="AM793" s="1268">
        <f>IF($AE$736=$H$784,IF($AE$737=$H$785,IF($AE$738=AM$746,IF($AE$739=$K793,Z793,0),0),0),0)</f>
        <v>0</v>
      </c>
      <c r="AN793" s="1268"/>
      <c r="AV793" s="1268">
        <f>IF($AV$736=$H$784,IF($AV$737=$H$785,IF($AV$738=AV$746,IF($AV$739=$K793,R793,0),0),0),0)</f>
        <v>0</v>
      </c>
      <c r="AW793" s="1268"/>
      <c r="AX793" s="1268">
        <f>IF($AV$736=$H$784,IF($AV$737=$H$785,IF($AV$738=AX$746,IF($AV$739=$K793,T793,0),0),0),0)</f>
        <v>0</v>
      </c>
      <c r="AY793" s="1268"/>
      <c r="AZ793" s="1268">
        <f>IF($AV$736=$H$784,IF($AV$737=$H$785,IF($AV$738=AZ$746,IF($AV$739=$K793,V793,0),0),0),0)</f>
        <v>0</v>
      </c>
      <c r="BA793" s="1268"/>
      <c r="BB793" s="1268">
        <f>IF($AV$736=$H$784,IF($AV$737=$H$785,IF($AV$738=BB$746,IF($AV$739=$K793,X793,0),0),0),0)</f>
        <v>0</v>
      </c>
      <c r="BC793" s="1268"/>
      <c r="BD793" s="1268">
        <f>IF($AV$736=$H$784,IF($AV$737=$H$785,IF($AV$738=BD$746,IF($AV$739=$K793,Z793,0),0),0),0)</f>
        <v>0</v>
      </c>
      <c r="BE793" s="1268"/>
      <c r="BQ793" s="201"/>
    </row>
    <row r="794" spans="8:69" hidden="1" outlineLevel="1" x14ac:dyDescent="0.15">
      <c r="H794" s="479" t="str">
        <f t="shared" si="153"/>
        <v>Zurigo</v>
      </c>
      <c r="K794" s="480" t="str">
        <f t="shared" si="154"/>
        <v>Zurigo</v>
      </c>
      <c r="R794" s="1277">
        <v>5.9400000000000001E-2</v>
      </c>
      <c r="S794" s="1277"/>
      <c r="T794" s="1277">
        <v>0.11260000000000001</v>
      </c>
      <c r="U794" s="1277"/>
      <c r="V794" s="1277">
        <v>0.22150000000000003</v>
      </c>
      <c r="W794" s="1277"/>
      <c r="X794" s="1277">
        <v>0.45529999999999998</v>
      </c>
      <c r="Y794" s="1277"/>
      <c r="Z794" s="1277">
        <v>0.7248</v>
      </c>
      <c r="AA794" s="1277"/>
      <c r="AE794" s="1268">
        <f>IF($AE$736=$H$784,IF($AE$737=$H$785,IF($AE$738=AE$746,IF($AE$739=$K794,R794,0),0),0),0)</f>
        <v>0</v>
      </c>
      <c r="AF794" s="1268"/>
      <c r="AG794" s="1268">
        <f>IF($AE$736=$H$784,IF($AE$737=$H$785,IF($AE$738=AG$746,IF($AE$739=$K794,T794,0),0),0),0)</f>
        <v>0</v>
      </c>
      <c r="AH794" s="1268"/>
      <c r="AI794" s="1268">
        <f>IF($AE$736=$H$784,IF($AE$737=$H$785,IF($AE$738=AI$746,IF($AE$739=$K794,V794,0),0),0),0)</f>
        <v>0</v>
      </c>
      <c r="AJ794" s="1268"/>
      <c r="AK794" s="1268">
        <f>IF($AE$736=$H$784,IF($AE$737=$H$785,IF($AE$738=AK$746,IF($AE$739=$K794,X794,0),0),0),0)</f>
        <v>0</v>
      </c>
      <c r="AL794" s="1268"/>
      <c r="AM794" s="1268">
        <f>IF($AE$736=$H$784,IF($AE$737=$H$785,IF($AE$738=AM$746,IF($AE$739=$K794,Z794,0),0),0),0)</f>
        <v>0</v>
      </c>
      <c r="AN794" s="1268"/>
      <c r="AV794" s="1268">
        <f>IF($AV$736=$H$784,IF($AV$737=$H$785,IF($AV$738=AV$746,IF($AV$739=$K794,R794,0),0),0),0)</f>
        <v>0</v>
      </c>
      <c r="AW794" s="1268"/>
      <c r="AX794" s="1268">
        <f>IF($AV$736=$H$784,IF($AV$737=$H$785,IF($AV$738=AX$746,IF($AV$739=$K794,T794,0),0),0),0)</f>
        <v>0</v>
      </c>
      <c r="AY794" s="1268"/>
      <c r="AZ794" s="1268">
        <f>IF($AV$736=$H$784,IF($AV$737=$H$785,IF($AV$738=AZ$746,IF($AV$739=$K794,V794,0),0),0),0)</f>
        <v>0</v>
      </c>
      <c r="BA794" s="1268"/>
      <c r="BB794" s="1268">
        <f>IF($AV$736=$H$784,IF($AV$737=$H$785,IF($AV$738=BB$746,IF($AV$739=$K794,X794,0),0),0),0)</f>
        <v>0</v>
      </c>
      <c r="BC794" s="1268"/>
      <c r="BD794" s="1268">
        <f>IF($AV$736=$H$784,IF($AV$737=$H$785,IF($AV$738=BD$746,IF($AV$739=$K794,Z794,0),0),0),0)</f>
        <v>0</v>
      </c>
      <c r="BE794" s="1268"/>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Impianto con 5'000 ore di funz. a pieno regime all'anno</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Impianto con 5'000 ore di funz. a pieno regime all'anno</v>
      </c>
      <c r="R799" s="70"/>
      <c r="T799" s="70"/>
      <c r="V799" s="70"/>
      <c r="X799" s="70"/>
      <c r="Z799" s="70"/>
      <c r="BQ799" s="201"/>
    </row>
    <row r="800" spans="8:69" hidden="1" outlineLevel="1" x14ac:dyDescent="0.15">
      <c r="H800" s="482" t="str">
        <f>X$494</f>
        <v>Secco</v>
      </c>
      <c r="R800" s="1273" t="s">
        <v>788</v>
      </c>
      <c r="S800" s="1273"/>
      <c r="T800" s="1273"/>
      <c r="U800" s="1273"/>
      <c r="V800" s="1273"/>
      <c r="W800" s="1273"/>
      <c r="X800" s="1273"/>
      <c r="Y800" s="1273"/>
      <c r="Z800" s="1273"/>
      <c r="AA800" s="1273"/>
      <c r="AE800" s="1273" t="s">
        <v>788</v>
      </c>
      <c r="AF800" s="1273"/>
      <c r="AG800" s="1273"/>
      <c r="AH800" s="1273"/>
      <c r="AI800" s="1273"/>
      <c r="AJ800" s="1273"/>
      <c r="AK800" s="1273"/>
      <c r="AL800" s="1273"/>
      <c r="AM800" s="1273"/>
      <c r="AN800" s="1273"/>
      <c r="AV800" s="1273" t="s">
        <v>788</v>
      </c>
      <c r="AW800" s="1273"/>
      <c r="AX800" s="1273"/>
      <c r="AY800" s="1273"/>
      <c r="AZ800" s="1273"/>
      <c r="BA800" s="1273"/>
      <c r="BB800" s="1273"/>
      <c r="BC800" s="1273"/>
      <c r="BD800" s="1273"/>
      <c r="BE800" s="1273"/>
      <c r="BQ800" s="201"/>
    </row>
    <row r="801" spans="8:69" hidden="1" outlineLevel="1" x14ac:dyDescent="0.15">
      <c r="H801"/>
      <c r="R801" s="1273">
        <v>6</v>
      </c>
      <c r="S801" s="1273"/>
      <c r="T801" s="1273">
        <v>10</v>
      </c>
      <c r="U801" s="1273"/>
      <c r="V801" s="1273">
        <v>14</v>
      </c>
      <c r="W801" s="1273"/>
      <c r="X801" s="1273">
        <v>18</v>
      </c>
      <c r="Y801" s="1273"/>
      <c r="Z801" s="1273">
        <v>22</v>
      </c>
      <c r="AA801" s="1273"/>
      <c r="AE801" s="1273">
        <v>6</v>
      </c>
      <c r="AF801" s="1273"/>
      <c r="AG801" s="1273">
        <v>10</v>
      </c>
      <c r="AH801" s="1273"/>
      <c r="AI801" s="1273">
        <v>14</v>
      </c>
      <c r="AJ801" s="1273"/>
      <c r="AK801" s="1273">
        <v>18</v>
      </c>
      <c r="AL801" s="1273"/>
      <c r="AM801" s="1273">
        <v>22</v>
      </c>
      <c r="AN801" s="1273"/>
      <c r="AO801" s="1274">
        <f>SUM(AE802:AN809)</f>
        <v>0</v>
      </c>
      <c r="AP801" s="1275"/>
      <c r="AV801" s="1273">
        <v>6</v>
      </c>
      <c r="AW801" s="1273"/>
      <c r="AX801" s="1273">
        <v>10</v>
      </c>
      <c r="AY801" s="1273"/>
      <c r="AZ801" s="1273">
        <v>14</v>
      </c>
      <c r="BA801" s="1273"/>
      <c r="BB801" s="1273">
        <v>18</v>
      </c>
      <c r="BC801" s="1273"/>
      <c r="BD801" s="1273">
        <v>22</v>
      </c>
      <c r="BE801" s="1273"/>
      <c r="BF801" s="1274">
        <f>SUM(AV802:BE809)</f>
        <v>0</v>
      </c>
      <c r="BG801" s="1275"/>
      <c r="BQ801" s="201"/>
    </row>
    <row r="802" spans="8:69" hidden="1" outlineLevel="1" x14ac:dyDescent="0.15">
      <c r="H802" s="479" t="str">
        <f>H598</f>
        <v>Basilea</v>
      </c>
      <c r="K802" s="480" t="str">
        <f>H760</f>
        <v>Basilea</v>
      </c>
      <c r="R802" s="1277">
        <v>9.9000000000000005E-2</v>
      </c>
      <c r="S802" s="1277"/>
      <c r="T802" s="1277">
        <v>0.19150000000000003</v>
      </c>
      <c r="U802" s="1277"/>
      <c r="V802" s="1277">
        <v>0.29100000000000004</v>
      </c>
      <c r="W802" s="1277"/>
      <c r="X802" s="1277">
        <v>0.43400000000000005</v>
      </c>
      <c r="Y802" s="1277"/>
      <c r="Z802" s="1277">
        <v>0.60550000000000004</v>
      </c>
      <c r="AA802" s="1277"/>
      <c r="AE802" s="1268">
        <f>IF($AE$736=$H$799,IF($AE$737=$H$800,IF($AE$738=AE$746,IF($AE$739=$K802,R802,0),0),0),0)</f>
        <v>0</v>
      </c>
      <c r="AF802" s="1268"/>
      <c r="AG802" s="1268">
        <f>IF($AE$736=$H$799,IF($AE$737=$H$800,IF($AE$738=AG$746,IF($AE$739=$K802,T802,0),0),0),0)</f>
        <v>0</v>
      </c>
      <c r="AH802" s="1268"/>
      <c r="AI802" s="1268">
        <f>IF($AE$736=$H$799,IF($AE$737=$H$800,IF($AE$738=AI$746,IF($AE$739=$K802,V802,0),0),0),0)</f>
        <v>0</v>
      </c>
      <c r="AJ802" s="1268"/>
      <c r="AK802" s="1268">
        <f>IF($AE$736=$H$799,IF($AE$737=$H$800,IF($AE$738=AK$746,IF($AE$739=$K802,X802,0),0),0),0)</f>
        <v>0</v>
      </c>
      <c r="AL802" s="1268"/>
      <c r="AM802" s="1268">
        <f>IF($AE$736=$H$799,IF($AE$737=$H$800,IF($AE$738=AM$746,IF($AE$739=$K802,Z802,0),0),0),0)</f>
        <v>0</v>
      </c>
      <c r="AN802" s="1268"/>
      <c r="AV802" s="1268">
        <f>IF($AV$736=$H$799,IF($AV$737=$H$800,IF($AV$738=AV$746,IF($AV$739=$K802,R802,0),0),0),0)</f>
        <v>0</v>
      </c>
      <c r="AW802" s="1268"/>
      <c r="AX802" s="1268">
        <f>IF($AV$736=$H$799,IF($AV$737=$H$800,IF($AV$738=AX$746,IF($AV$739=$K802,T802,0),0),0),0)</f>
        <v>0</v>
      </c>
      <c r="AY802" s="1268"/>
      <c r="AZ802" s="1268">
        <f>IF($AV$736=$H$799,IF($AV$737=$H$800,IF($AV$738=AZ$746,IF($AV$739=$K802,V802,0),0),0),0)</f>
        <v>0</v>
      </c>
      <c r="BA802" s="1268"/>
      <c r="BB802" s="1268">
        <f>IF($AV$736=$H$799,IF($AV$737=$H$800,IF($AV$738=BB$746,IF($AV$739=$K802,X802,0),0),0),0)</f>
        <v>0</v>
      </c>
      <c r="BC802" s="1268"/>
      <c r="BD802" s="1268">
        <f>IF($AV$736=$H$799,IF($AV$737=$H$800,IF($AV$738=BD$746,IF($AV$739=$K802,Z802,0),0),0),0)</f>
        <v>0</v>
      </c>
      <c r="BE802" s="1268"/>
      <c r="BQ802" s="201"/>
    </row>
    <row r="803" spans="8:69" hidden="1" outlineLevel="1" x14ac:dyDescent="0.15">
      <c r="H803" s="479" t="str">
        <f t="shared" ref="H803:H809" si="165">H599</f>
        <v>Berna</v>
      </c>
      <c r="K803" s="480" t="str">
        <f t="shared" ref="K803:K809" si="166">H761</f>
        <v>Berna</v>
      </c>
      <c r="R803" s="1276">
        <v>0.12100000000000001</v>
      </c>
      <c r="S803" s="1276"/>
      <c r="T803" s="1276">
        <v>0.20250000000000001</v>
      </c>
      <c r="U803" s="1276"/>
      <c r="V803" s="1276">
        <v>0.29750000000000004</v>
      </c>
      <c r="W803" s="1276"/>
      <c r="X803" s="1276">
        <v>0.43850000000000006</v>
      </c>
      <c r="Y803" s="1276"/>
      <c r="Z803" s="1276">
        <v>0.61865000000000003</v>
      </c>
      <c r="AA803" s="1276"/>
      <c r="AE803" s="1268">
        <f t="shared" ref="AE803:AE807" si="167">IF($AE$736=$H$799,IF($AE$737=$H$800,IF($AE$738=AE$746,IF($AE$739=$K803,R803,0),0),0),0)</f>
        <v>0</v>
      </c>
      <c r="AF803" s="1268"/>
      <c r="AG803" s="1268">
        <f t="shared" ref="AG803:AG807" si="168">IF($AE$736=$H$799,IF($AE$737=$H$800,IF($AE$738=AG$746,IF($AE$739=$K803,T803,0),0),0),0)</f>
        <v>0</v>
      </c>
      <c r="AH803" s="1268"/>
      <c r="AI803" s="1268">
        <f t="shared" ref="AI803:AI807" si="169">IF($AE$736=$H$799,IF($AE$737=$H$800,IF($AE$738=AI$746,IF($AE$739=$K803,V803,0),0),0),0)</f>
        <v>0</v>
      </c>
      <c r="AJ803" s="1268"/>
      <c r="AK803" s="1268">
        <f t="shared" ref="AK803:AK807" si="170">IF($AE$736=$H$799,IF($AE$737=$H$800,IF($AE$738=AK$746,IF($AE$739=$K803,X803,0),0),0),0)</f>
        <v>0</v>
      </c>
      <c r="AL803" s="1268"/>
      <c r="AM803" s="1268">
        <f t="shared" ref="AM803:AM807" si="171">IF($AE$736=$H$799,IF($AE$737=$H$800,IF($AE$738=AM$746,IF($AE$739=$K803,Z803,0),0),0),0)</f>
        <v>0</v>
      </c>
      <c r="AN803" s="1268"/>
      <c r="AV803" s="1268">
        <f t="shared" ref="AV803:AV807" si="172">IF($AV$736=$H$799,IF($AV$737=$H$800,IF($AV$738=AV$746,IF($AV$739=$K803,R803,0),0),0),0)</f>
        <v>0</v>
      </c>
      <c r="AW803" s="1268"/>
      <c r="AX803" s="1268">
        <f t="shared" ref="AX803:AX807" si="173">IF($AV$736=$H$799,IF($AV$737=$H$800,IF($AV$738=AX$746,IF($AV$739=$K803,T803,0),0),0),0)</f>
        <v>0</v>
      </c>
      <c r="AY803" s="1268"/>
      <c r="AZ803" s="1268">
        <f t="shared" ref="AZ803:AZ807" si="174">IF($AV$736=$H$799,IF($AV$737=$H$800,IF($AV$738=AZ$746,IF($AV$739=$K803,V803,0),0),0),0)</f>
        <v>0</v>
      </c>
      <c r="BA803" s="1268"/>
      <c r="BB803" s="1268">
        <f t="shared" ref="BB803:BB807" si="175">IF($AV$736=$H$799,IF($AV$737=$H$800,IF($AV$738=BB$746,IF($AV$739=$K803,X803,0),0),0),0)</f>
        <v>0</v>
      </c>
      <c r="BC803" s="1268"/>
      <c r="BD803" s="1268">
        <f t="shared" ref="BD803:BD807" si="176">IF($AV$736=$H$799,IF($AV$737=$H$800,IF($AV$738=BD$746,IF($AV$739=$K803,Z803,0),0),0),0)</f>
        <v>0</v>
      </c>
      <c r="BE803" s="1268"/>
      <c r="BQ803" s="201"/>
    </row>
    <row r="804" spans="8:69" hidden="1" outlineLevel="1" x14ac:dyDescent="0.15">
      <c r="H804" s="479" t="str">
        <f t="shared" si="165"/>
        <v>Davos</v>
      </c>
      <c r="K804" s="480" t="str">
        <f t="shared" si="166"/>
        <v>Davos</v>
      </c>
      <c r="R804" s="1277">
        <v>0.23100000000000001</v>
      </c>
      <c r="S804" s="1277"/>
      <c r="T804" s="1277">
        <v>0.33250000000000002</v>
      </c>
      <c r="U804" s="1277"/>
      <c r="V804" s="1278">
        <v>0.45750000000000002</v>
      </c>
      <c r="W804" s="1278"/>
      <c r="X804" s="1277">
        <v>0.59899999999999998</v>
      </c>
      <c r="Y804" s="1277"/>
      <c r="Z804" s="1277">
        <v>0.74</v>
      </c>
      <c r="AA804" s="1277"/>
      <c r="AE804" s="1268">
        <f t="shared" si="167"/>
        <v>0</v>
      </c>
      <c r="AF804" s="1268"/>
      <c r="AG804" s="1268">
        <f t="shared" si="168"/>
        <v>0</v>
      </c>
      <c r="AH804" s="1268"/>
      <c r="AI804" s="1268">
        <f t="shared" si="169"/>
        <v>0</v>
      </c>
      <c r="AJ804" s="1268"/>
      <c r="AK804" s="1268">
        <f t="shared" si="170"/>
        <v>0</v>
      </c>
      <c r="AL804" s="1268"/>
      <c r="AM804" s="1268">
        <f t="shared" si="171"/>
        <v>0</v>
      </c>
      <c r="AN804" s="1268"/>
      <c r="AV804" s="1268">
        <f t="shared" si="172"/>
        <v>0</v>
      </c>
      <c r="AW804" s="1268"/>
      <c r="AX804" s="1268">
        <f t="shared" si="173"/>
        <v>0</v>
      </c>
      <c r="AY804" s="1268"/>
      <c r="AZ804" s="1268">
        <f t="shared" si="174"/>
        <v>0</v>
      </c>
      <c r="BA804" s="1268"/>
      <c r="BB804" s="1268">
        <f t="shared" si="175"/>
        <v>0</v>
      </c>
      <c r="BC804" s="1268"/>
      <c r="BD804" s="1268">
        <f t="shared" si="176"/>
        <v>0</v>
      </c>
      <c r="BE804" s="1268"/>
      <c r="BQ804" s="201"/>
    </row>
    <row r="805" spans="8:69" hidden="1" outlineLevel="1" x14ac:dyDescent="0.15">
      <c r="H805" s="479" t="str">
        <f t="shared" si="165"/>
        <v>Ginevra</v>
      </c>
      <c r="K805" s="480" t="str">
        <f t="shared" si="166"/>
        <v>Ginevra</v>
      </c>
      <c r="R805" s="1276">
        <v>0.11000000000000001</v>
      </c>
      <c r="S805" s="1276"/>
      <c r="T805" s="1276">
        <v>0.20149999999999998</v>
      </c>
      <c r="U805" s="1276"/>
      <c r="V805" s="1276">
        <v>0.29750000000000004</v>
      </c>
      <c r="W805" s="1276"/>
      <c r="X805" s="1276">
        <v>0.43049999999999999</v>
      </c>
      <c r="Y805" s="1276"/>
      <c r="Z805" s="1276">
        <v>0.59650000000000003</v>
      </c>
      <c r="AA805" s="1276"/>
      <c r="AE805" s="1268">
        <f t="shared" si="167"/>
        <v>0</v>
      </c>
      <c r="AF805" s="1268"/>
      <c r="AG805" s="1268">
        <f t="shared" si="168"/>
        <v>0</v>
      </c>
      <c r="AH805" s="1268"/>
      <c r="AI805" s="1268">
        <f t="shared" si="169"/>
        <v>0</v>
      </c>
      <c r="AJ805" s="1268"/>
      <c r="AK805" s="1268">
        <f t="shared" si="170"/>
        <v>0</v>
      </c>
      <c r="AL805" s="1268"/>
      <c r="AM805" s="1268">
        <f t="shared" si="171"/>
        <v>0</v>
      </c>
      <c r="AN805" s="1268"/>
      <c r="AV805" s="1268">
        <f t="shared" si="172"/>
        <v>0</v>
      </c>
      <c r="AW805" s="1268"/>
      <c r="AX805" s="1268">
        <f t="shared" si="173"/>
        <v>0</v>
      </c>
      <c r="AY805" s="1268"/>
      <c r="AZ805" s="1268">
        <f t="shared" si="174"/>
        <v>0</v>
      </c>
      <c r="BA805" s="1268"/>
      <c r="BB805" s="1268">
        <f t="shared" si="175"/>
        <v>0</v>
      </c>
      <c r="BC805" s="1268"/>
      <c r="BD805" s="1268">
        <f t="shared" si="176"/>
        <v>0</v>
      </c>
      <c r="BE805" s="1268"/>
      <c r="BQ805" s="201"/>
    </row>
    <row r="806" spans="8:69" hidden="1" outlineLevel="1" x14ac:dyDescent="0.15">
      <c r="H806" s="479" t="str">
        <f t="shared" si="165"/>
        <v>La-Chaux-de-Fonds</v>
      </c>
      <c r="K806" s="480" t="str">
        <f t="shared" si="166"/>
        <v>La-Chaux-de-Fonds</v>
      </c>
      <c r="R806" s="1276">
        <v>0.17140000000000002</v>
      </c>
      <c r="S806" s="1276"/>
      <c r="T806" s="1276">
        <v>0.27074999999999999</v>
      </c>
      <c r="U806" s="1276"/>
      <c r="V806" s="1276">
        <v>0.38035000000000002</v>
      </c>
      <c r="W806" s="1276"/>
      <c r="X806" s="1276">
        <v>0.5263000000000001</v>
      </c>
      <c r="Y806" s="1276"/>
      <c r="Z806" s="1276">
        <v>0.69830000000000003</v>
      </c>
      <c r="AA806" s="1276"/>
      <c r="AE806" s="1268">
        <f t="shared" si="167"/>
        <v>0</v>
      </c>
      <c r="AF806" s="1268"/>
      <c r="AG806" s="1268">
        <f t="shared" si="168"/>
        <v>0</v>
      </c>
      <c r="AH806" s="1268"/>
      <c r="AI806" s="1268">
        <f t="shared" si="169"/>
        <v>0</v>
      </c>
      <c r="AJ806" s="1268"/>
      <c r="AK806" s="1268">
        <f t="shared" si="170"/>
        <v>0</v>
      </c>
      <c r="AL806" s="1268"/>
      <c r="AM806" s="1268">
        <f t="shared" si="171"/>
        <v>0</v>
      </c>
      <c r="AN806" s="1268"/>
      <c r="AV806" s="1268">
        <f t="shared" si="172"/>
        <v>0</v>
      </c>
      <c r="AW806" s="1268"/>
      <c r="AX806" s="1268">
        <f t="shared" si="173"/>
        <v>0</v>
      </c>
      <c r="AY806" s="1268"/>
      <c r="AZ806" s="1268">
        <f t="shared" si="174"/>
        <v>0</v>
      </c>
      <c r="BA806" s="1268"/>
      <c r="BB806" s="1268">
        <f t="shared" si="175"/>
        <v>0</v>
      </c>
      <c r="BC806" s="1268"/>
      <c r="BD806" s="1268">
        <f t="shared" si="176"/>
        <v>0</v>
      </c>
      <c r="BE806" s="1268"/>
      <c r="BQ806" s="201"/>
    </row>
    <row r="807" spans="8:69" hidden="1" outlineLevel="1" x14ac:dyDescent="0.15">
      <c r="H807" s="479" t="str">
        <f t="shared" si="165"/>
        <v>Lugano</v>
      </c>
      <c r="K807" s="480" t="str">
        <f t="shared" si="166"/>
        <v>Lugano</v>
      </c>
      <c r="R807" s="1277">
        <v>4.4000000000000004E-2</v>
      </c>
      <c r="S807" s="1277"/>
      <c r="T807" s="1277">
        <v>8.1500000000000003E-2</v>
      </c>
      <c r="U807" s="1277"/>
      <c r="V807" s="1277">
        <v>0.23350000000000001</v>
      </c>
      <c r="W807" s="1277"/>
      <c r="X807" s="1277">
        <v>0.35200000000000004</v>
      </c>
      <c r="Y807" s="1277"/>
      <c r="Z807" s="1277">
        <v>0.52</v>
      </c>
      <c r="AA807" s="1277"/>
      <c r="AE807" s="1268">
        <f t="shared" si="167"/>
        <v>0</v>
      </c>
      <c r="AF807" s="1268"/>
      <c r="AG807" s="1268">
        <f t="shared" si="168"/>
        <v>0</v>
      </c>
      <c r="AH807" s="1268"/>
      <c r="AI807" s="1268">
        <f t="shared" si="169"/>
        <v>0</v>
      </c>
      <c r="AJ807" s="1268"/>
      <c r="AK807" s="1268">
        <f t="shared" si="170"/>
        <v>0</v>
      </c>
      <c r="AL807" s="1268"/>
      <c r="AM807" s="1268">
        <f t="shared" si="171"/>
        <v>0</v>
      </c>
      <c r="AN807" s="1268"/>
      <c r="AV807" s="1268">
        <f t="shared" si="172"/>
        <v>0</v>
      </c>
      <c r="AW807" s="1268"/>
      <c r="AX807" s="1268">
        <f t="shared" si="173"/>
        <v>0</v>
      </c>
      <c r="AY807" s="1268"/>
      <c r="AZ807" s="1268">
        <f t="shared" si="174"/>
        <v>0</v>
      </c>
      <c r="BA807" s="1268"/>
      <c r="BB807" s="1268">
        <f t="shared" si="175"/>
        <v>0</v>
      </c>
      <c r="BC807" s="1268"/>
      <c r="BD807" s="1268">
        <f t="shared" si="176"/>
        <v>0</v>
      </c>
      <c r="BE807" s="1268"/>
      <c r="BQ807" s="201"/>
    </row>
    <row r="808" spans="8:69" hidden="1" outlineLevel="1" x14ac:dyDescent="0.15">
      <c r="H808" s="479" t="str">
        <f t="shared" si="165"/>
        <v>San Gallo</v>
      </c>
      <c r="K808" s="480" t="str">
        <f t="shared" si="166"/>
        <v>San Gallo</v>
      </c>
      <c r="R808" s="1277">
        <v>0.14850000000000002</v>
      </c>
      <c r="S808" s="1277"/>
      <c r="T808" s="1277">
        <v>0.24</v>
      </c>
      <c r="U808" s="1277"/>
      <c r="V808" s="1277">
        <v>0.35399999999999998</v>
      </c>
      <c r="W808" s="1277"/>
      <c r="X808" s="1277">
        <v>0.51500000000000001</v>
      </c>
      <c r="Y808" s="1277"/>
      <c r="Z808" s="1277">
        <v>0.68440000000000001</v>
      </c>
      <c r="AA808" s="1277"/>
      <c r="AE808" s="1268">
        <f>IF($AE$736=$H$799,IF($AE$737=$H$800,IF($AE$738=AE$746,IF($AE$739=$K808,R808,0),0),0),0)</f>
        <v>0</v>
      </c>
      <c r="AF808" s="1268"/>
      <c r="AG808" s="1268">
        <f>IF($AE$736=$H$799,IF($AE$737=$H$800,IF($AE$738=AG$746,IF($AE$739=$K808,T808,0),0),0),0)</f>
        <v>0</v>
      </c>
      <c r="AH808" s="1268"/>
      <c r="AI808" s="1268">
        <f>IF($AE$736=$H$799,IF($AE$737=$H$800,IF($AE$738=AI$746,IF($AE$739=$K808,V808,0),0),0),0)</f>
        <v>0</v>
      </c>
      <c r="AJ808" s="1268"/>
      <c r="AK808" s="1268">
        <f>IF($AE$736=$H$799,IF($AE$737=$H$800,IF($AE$738=AK$746,IF($AE$739=$K808,X808,0),0),0),0)</f>
        <v>0</v>
      </c>
      <c r="AL808" s="1268"/>
      <c r="AM808" s="1268">
        <f>IF($AE$736=$H$799,IF($AE$737=$H$800,IF($AE$738=AM$746,IF($AE$739=$K808,Z808,0),0),0),0)</f>
        <v>0</v>
      </c>
      <c r="AN808" s="1268"/>
      <c r="AV808" s="1268">
        <f>IF($AV$736=$H$799,IF($AV$737=$H$800,IF($AV$738=AV$746,IF($AV$739=$K808,R808,0),0),0),0)</f>
        <v>0</v>
      </c>
      <c r="AW808" s="1268"/>
      <c r="AX808" s="1268">
        <f>IF($AV$736=$H$799,IF($AV$737=$H$800,IF($AV$738=AX$746,IF($AV$739=$K808,T808,0),0),0),0)</f>
        <v>0</v>
      </c>
      <c r="AY808" s="1268"/>
      <c r="AZ808" s="1268">
        <f>IF($AV$736=$H$799,IF($AV$737=$H$800,IF($AV$738=AZ$746,IF($AV$739=$K808,V808,0),0),0),0)</f>
        <v>0</v>
      </c>
      <c r="BA808" s="1268"/>
      <c r="BB808" s="1268">
        <f>IF($AV$736=$H$799,IF($AV$737=$H$800,IF($AV$738=BB$746,IF($AV$739=$K808,X808,0),0),0),0)</f>
        <v>0</v>
      </c>
      <c r="BC808" s="1268"/>
      <c r="BD808" s="1268">
        <f>IF($AV$736=$H$799,IF($AV$737=$H$800,IF($AV$738=BD$746,IF($AV$739=$K808,Z808,0),0),0),0)</f>
        <v>0</v>
      </c>
      <c r="BE808" s="1268"/>
      <c r="BQ808" s="201"/>
    </row>
    <row r="809" spans="8:69" hidden="1" outlineLevel="1" x14ac:dyDescent="0.15">
      <c r="H809" s="479" t="str">
        <f t="shared" si="165"/>
        <v>Zurigo</v>
      </c>
      <c r="K809" s="480" t="str">
        <f t="shared" si="166"/>
        <v>Zurigo</v>
      </c>
      <c r="R809" s="1277">
        <v>0.12100000000000001</v>
      </c>
      <c r="S809" s="1277"/>
      <c r="T809" s="1277">
        <v>0.20350000000000001</v>
      </c>
      <c r="U809" s="1277"/>
      <c r="V809" s="1277">
        <v>0.31950000000000006</v>
      </c>
      <c r="W809" s="1277"/>
      <c r="X809" s="1277">
        <v>0.4405</v>
      </c>
      <c r="Y809" s="1277"/>
      <c r="Z809" s="1277">
        <v>0.6120000000000001</v>
      </c>
      <c r="AA809" s="1277"/>
      <c r="AE809" s="1268">
        <f>IF($AE$736=$H$799,IF($AE$737=$H$800,IF($AE$738=AE$746,IF($AE$739=$K809,R809,0),0),0),0)</f>
        <v>0</v>
      </c>
      <c r="AF809" s="1268"/>
      <c r="AG809" s="1268">
        <f>IF($AE$736=$H$799,IF($AE$737=$H$800,IF($AE$738=AG$746,IF($AE$739=$K809,T809,0),0),0),0)</f>
        <v>0</v>
      </c>
      <c r="AH809" s="1268"/>
      <c r="AI809" s="1268">
        <f>IF($AE$736=$H$799,IF($AE$737=$H$800,IF($AE$738=AI$746,IF($AE$739=$K809,V809,0),0),0),0)</f>
        <v>0</v>
      </c>
      <c r="AJ809" s="1268"/>
      <c r="AK809" s="1268">
        <f>IF($AE$736=$H$799,IF($AE$737=$H$800,IF($AE$738=AK$746,IF($AE$739=$K809,X809,0),0),0),0)</f>
        <v>0</v>
      </c>
      <c r="AL809" s="1268"/>
      <c r="AM809" s="1268">
        <f>IF($AE$736=$H$799,IF($AE$737=$H$800,IF($AE$738=AM$746,IF($AE$739=$K809,Z809,0),0),0),0)</f>
        <v>0</v>
      </c>
      <c r="AN809" s="1268"/>
      <c r="AV809" s="1268">
        <f>IF($AV$736=$H$799,IF($AV$737=$H$800,IF($AV$738=AV$746,IF($AV$739=$K809,R809,0),0),0),0)</f>
        <v>0</v>
      </c>
      <c r="AW809" s="1268"/>
      <c r="AX809" s="1268">
        <f>IF($AV$736=$H$799,IF($AV$737=$H$800,IF($AV$738=AX$746,IF($AV$739=$K809,T809,0),0),0),0)</f>
        <v>0</v>
      </c>
      <c r="AY809" s="1268"/>
      <c r="AZ809" s="1268">
        <f>IF($AV$736=$H$799,IF($AV$737=$H$800,IF($AV$738=AZ$746,IF($AV$739=$K809,V809,0),0),0),0)</f>
        <v>0</v>
      </c>
      <c r="BA809" s="1268"/>
      <c r="BB809" s="1268">
        <f>IF($AV$736=$H$799,IF($AV$737=$H$800,IF($AV$738=BB$746,IF($AV$739=$K809,X809,0),0),0),0)</f>
        <v>0</v>
      </c>
      <c r="BC809" s="1268"/>
      <c r="BD809" s="1268">
        <f>IF($AV$736=$H$799,IF($AV$737=$H$800,IF($AV$738=BD$746,IF($AV$739=$K809,Z809,0),0),0),0)</f>
        <v>0</v>
      </c>
      <c r="BE809" s="1268"/>
      <c r="BQ809" s="201"/>
    </row>
    <row r="810" spans="8:69" hidden="1" outlineLevel="1" x14ac:dyDescent="0.15">
      <c r="H810"/>
      <c r="U810"/>
      <c r="BQ810" s="201"/>
    </row>
    <row r="811" spans="8:69" hidden="1" outlineLevel="1" x14ac:dyDescent="0.15">
      <c r="H811" t="str">
        <f>H797</f>
        <v>C: Impianto con 5'000 ore di funz. a pieno regime all'anno</v>
      </c>
      <c r="U811"/>
      <c r="BQ811" s="201"/>
    </row>
    <row r="812" spans="8:69" hidden="1" outlineLevel="1" x14ac:dyDescent="0.15">
      <c r="H812" s="483" t="str">
        <f>X$495</f>
        <v>Ibrido</v>
      </c>
      <c r="R812" s="1269" t="s">
        <v>788</v>
      </c>
      <c r="S812" s="1269"/>
      <c r="T812" s="1269"/>
      <c r="U812" s="1269"/>
      <c r="V812" s="1269"/>
      <c r="W812" s="1269"/>
      <c r="X812" s="1269"/>
      <c r="Y812" s="1269"/>
      <c r="Z812" s="1269"/>
      <c r="AA812" s="1269"/>
      <c r="AE812" s="1269" t="s">
        <v>788</v>
      </c>
      <c r="AF812" s="1269"/>
      <c r="AG812" s="1269"/>
      <c r="AH812" s="1269"/>
      <c r="AI812" s="1269"/>
      <c r="AJ812" s="1269"/>
      <c r="AK812" s="1269"/>
      <c r="AL812" s="1269"/>
      <c r="AM812" s="1269"/>
      <c r="AN812" s="1269"/>
      <c r="AV812" s="1269" t="s">
        <v>788</v>
      </c>
      <c r="AW812" s="1269"/>
      <c r="AX812" s="1269"/>
      <c r="AY812" s="1269"/>
      <c r="AZ812" s="1269"/>
      <c r="BA812" s="1269"/>
      <c r="BB812" s="1269"/>
      <c r="BC812" s="1269"/>
      <c r="BD812" s="1269"/>
      <c r="BE812" s="1269"/>
      <c r="BQ812" s="201"/>
    </row>
    <row r="813" spans="8:69" hidden="1" outlineLevel="1" x14ac:dyDescent="0.15">
      <c r="H813"/>
      <c r="R813" s="1269">
        <v>6</v>
      </c>
      <c r="S813" s="1269"/>
      <c r="T813" s="1269">
        <v>10</v>
      </c>
      <c r="U813" s="1269"/>
      <c r="V813" s="1269">
        <v>14</v>
      </c>
      <c r="W813" s="1269"/>
      <c r="X813" s="1269">
        <v>18</v>
      </c>
      <c r="Y813" s="1269"/>
      <c r="Z813" s="1269">
        <v>22</v>
      </c>
      <c r="AA813" s="1269"/>
      <c r="AE813" s="1269">
        <v>6</v>
      </c>
      <c r="AF813" s="1269"/>
      <c r="AG813" s="1269">
        <v>10</v>
      </c>
      <c r="AH813" s="1269"/>
      <c r="AI813" s="1269">
        <v>14</v>
      </c>
      <c r="AJ813" s="1269"/>
      <c r="AK813" s="1269">
        <v>18</v>
      </c>
      <c r="AL813" s="1269"/>
      <c r="AM813" s="1269">
        <v>22</v>
      </c>
      <c r="AN813" s="1269"/>
      <c r="AO813" s="1274">
        <f>SUM(AE814:AN821)</f>
        <v>0</v>
      </c>
      <c r="AP813" s="1275"/>
      <c r="AV813" s="1269">
        <v>6</v>
      </c>
      <c r="AW813" s="1269"/>
      <c r="AX813" s="1269">
        <v>10</v>
      </c>
      <c r="AY813" s="1269"/>
      <c r="AZ813" s="1269">
        <v>14</v>
      </c>
      <c r="BA813" s="1269"/>
      <c r="BB813" s="1269">
        <v>18</v>
      </c>
      <c r="BC813" s="1269"/>
      <c r="BD813" s="1269">
        <v>22</v>
      </c>
      <c r="BE813" s="1269"/>
      <c r="BF813" s="1274">
        <f>SUM(AV814:BE821)</f>
        <v>0</v>
      </c>
      <c r="BG813" s="1275"/>
      <c r="BQ813" s="201"/>
    </row>
    <row r="814" spans="8:69" hidden="1" outlineLevel="1" x14ac:dyDescent="0.15">
      <c r="H814" s="479" t="str">
        <f>H598</f>
        <v>Basilea</v>
      </c>
      <c r="K814" s="480" t="str">
        <f>H760</f>
        <v>Basilea</v>
      </c>
      <c r="R814" s="1277">
        <v>0.10450000000000001</v>
      </c>
      <c r="S814" s="1277"/>
      <c r="T814" s="1277">
        <v>0.20250000000000001</v>
      </c>
      <c r="U814" s="1277"/>
      <c r="V814" s="1277">
        <v>0.34100000000000003</v>
      </c>
      <c r="W814" s="1277"/>
      <c r="X814" s="1277">
        <v>0.55349999999999999</v>
      </c>
      <c r="Y814" s="1277"/>
      <c r="Z814" s="1277">
        <v>0.77649999999999997</v>
      </c>
      <c r="AA814" s="1277"/>
      <c r="AE814" s="1268">
        <f>IF($AE$736=$H$811,IF($AE$737=$H$812,IF($AE$738=AE$746,IF($AE$739=$K814,R814,0),0),0),0)</f>
        <v>0</v>
      </c>
      <c r="AF814" s="1268"/>
      <c r="AG814" s="1268">
        <f>IF($AE$736=$H$811,IF($AE$737=$H$812,IF($AE$738=AG$746,IF($AE$739=$K814,T814,0),0),0),0)</f>
        <v>0</v>
      </c>
      <c r="AH814" s="1268"/>
      <c r="AI814" s="1268">
        <f>IF($AE$736=$H$811,IF($AE$737=$H$812,IF($AE$738=AI$746,IF($AE$739=$K814,V814,0),0),0),0)</f>
        <v>0</v>
      </c>
      <c r="AJ814" s="1268"/>
      <c r="AK814" s="1268">
        <f>IF($AE$736=$H$811,IF($AE$737=$H$812,IF($AE$738=AK$746,IF($AE$739=$K814,X814,0),0),0),0)</f>
        <v>0</v>
      </c>
      <c r="AL814" s="1268"/>
      <c r="AM814" s="1268">
        <f>IF($AE$736=$H$811,IF($AE$737=$H$812,IF($AE$738=AM$746,IF($AE$739=$K814,Z814,0),0),0),0)</f>
        <v>0</v>
      </c>
      <c r="AN814" s="1268"/>
      <c r="AV814" s="1268">
        <f>IF($AV$736=$H$811,IF($AV$737=$H$812,IF($AV$738=AV$746,IF($AV$739=$K814,R814,0),0),0),0)</f>
        <v>0</v>
      </c>
      <c r="AW814" s="1268"/>
      <c r="AX814" s="1268">
        <f>IF($AV$736=$H$811,IF($AV$737=$H$812,IF($AV$738=AX$746,IF($AV$739=$K814,T814,0),0),0),0)</f>
        <v>0</v>
      </c>
      <c r="AY814" s="1268"/>
      <c r="AZ814" s="1268">
        <f>IF($AV$736=$H$811,IF($AV$737=$H$812,IF($AV$738=AZ$746,IF($AV$739=$K814,V814,0),0),0),0)</f>
        <v>0</v>
      </c>
      <c r="BA814" s="1268"/>
      <c r="BB814" s="1268">
        <f>IF($AV$736=$H$811,IF($AV$737=$H$812,IF($AV$738=BB$746,IF($AV$739=$K814,X814,0),0),0),0)</f>
        <v>0</v>
      </c>
      <c r="BC814" s="1268"/>
      <c r="BD814" s="1268">
        <f>IF($AV$736=$H$811,IF($AV$737=$H$812,IF($AV$738=BD$746,IF($AV$739=$K814,Z814,0),0),0),0)</f>
        <v>0</v>
      </c>
      <c r="BE814" s="1268"/>
      <c r="BQ814" s="201"/>
    </row>
    <row r="815" spans="8:69" hidden="1" outlineLevel="1" x14ac:dyDescent="0.15">
      <c r="H815" s="479" t="str">
        <f t="shared" ref="H815:H821" si="177">H599</f>
        <v>Berna</v>
      </c>
      <c r="K815" s="480" t="str">
        <f t="shared" ref="K815:K821" si="178">H761</f>
        <v>Berna</v>
      </c>
      <c r="R815" s="1276">
        <v>0.12650000000000003</v>
      </c>
      <c r="S815" s="1276"/>
      <c r="T815" s="1276">
        <v>0.2235</v>
      </c>
      <c r="U815" s="1276"/>
      <c r="V815" s="1276">
        <v>0.36650000000000005</v>
      </c>
      <c r="W815" s="1276"/>
      <c r="X815" s="1276">
        <v>0.59599999999999997</v>
      </c>
      <c r="Y815" s="1276"/>
      <c r="Z815" s="1276">
        <v>0.8145</v>
      </c>
      <c r="AA815" s="1276"/>
      <c r="AE815" s="1268">
        <f t="shared" ref="AE815:AE819" si="179">IF($AE$736=$H$811,IF($AE$737=$H$812,IF($AE$738=AE$746,IF($AE$739=$K815,R815,0),0),0),0)</f>
        <v>0</v>
      </c>
      <c r="AF815" s="1268"/>
      <c r="AG815" s="1268">
        <f t="shared" ref="AG815:AG819" si="180">IF($AE$736=$H$811,IF($AE$737=$H$812,IF($AE$738=AG$746,IF($AE$739=$K815,T815,0),0),0),0)</f>
        <v>0</v>
      </c>
      <c r="AH815" s="1268"/>
      <c r="AI815" s="1268">
        <f t="shared" ref="AI815:AI819" si="181">IF($AE$736=$H$811,IF($AE$737=$H$812,IF($AE$738=AI$746,IF($AE$739=$K815,V815,0),0),0),0)</f>
        <v>0</v>
      </c>
      <c r="AJ815" s="1268"/>
      <c r="AK815" s="1268">
        <f t="shared" ref="AK815:AK819" si="182">IF($AE$736=$H$811,IF($AE$737=$H$812,IF($AE$738=AK$746,IF($AE$739=$K815,X815,0),0),0),0)</f>
        <v>0</v>
      </c>
      <c r="AL815" s="1268"/>
      <c r="AM815" s="1268">
        <f t="shared" ref="AM815:AM819" si="183">IF($AE$736=$H$811,IF($AE$737=$H$812,IF($AE$738=AM$746,IF($AE$739=$K815,Z815,0),0),0),0)</f>
        <v>0</v>
      </c>
      <c r="AN815" s="1268"/>
      <c r="AV815" s="1268">
        <f t="shared" ref="AV815:AV819" si="184">IF($AV$736=$H$811,IF($AV$737=$H$812,IF($AV$738=AV$746,IF($AV$739=$K815,R815,0),0),0),0)</f>
        <v>0</v>
      </c>
      <c r="AW815" s="1268"/>
      <c r="AX815" s="1268">
        <f t="shared" ref="AX815:AX819" si="185">IF($AV$736=$H$811,IF($AV$737=$H$812,IF($AV$738=AX$746,IF($AV$739=$K815,T815,0),0),0),0)</f>
        <v>0</v>
      </c>
      <c r="AY815" s="1268"/>
      <c r="AZ815" s="1268">
        <f t="shared" ref="AZ815:AZ819" si="186">IF($AV$736=$H$811,IF($AV$737=$H$812,IF($AV$738=AZ$746,IF($AV$739=$K815,V815,0),0),0),0)</f>
        <v>0</v>
      </c>
      <c r="BA815" s="1268"/>
      <c r="BB815" s="1268">
        <f t="shared" ref="BB815:BB819" si="187">IF($AV$736=$H$811,IF($AV$737=$H$812,IF($AV$738=BB$746,IF($AV$739=$K815,X815,0),0),0),0)</f>
        <v>0</v>
      </c>
      <c r="BC815" s="1268"/>
      <c r="BD815" s="1268">
        <f t="shared" ref="BD815:BD819" si="188">IF($AV$736=$H$811,IF($AV$737=$H$812,IF($AV$738=BD$746,IF($AV$739=$K815,Z815,0),0),0),0)</f>
        <v>0</v>
      </c>
      <c r="BE815" s="1268"/>
      <c r="BQ815" s="201"/>
    </row>
    <row r="816" spans="8:69" hidden="1" outlineLevel="1" x14ac:dyDescent="0.15">
      <c r="H816" s="479" t="str">
        <f t="shared" si="177"/>
        <v>Davos</v>
      </c>
      <c r="K816" s="480" t="str">
        <f t="shared" si="178"/>
        <v>Davos</v>
      </c>
      <c r="R816" s="1277">
        <v>0.252</v>
      </c>
      <c r="S816" s="1277"/>
      <c r="T816" s="1277">
        <v>0.36349999999999999</v>
      </c>
      <c r="U816" s="1277"/>
      <c r="V816" s="1278">
        <v>0.57499999999999996</v>
      </c>
      <c r="W816" s="1278"/>
      <c r="X816" s="1277">
        <v>0.77400000000000002</v>
      </c>
      <c r="Y816" s="1277"/>
      <c r="Z816" s="1277">
        <v>0.83749999999999991</v>
      </c>
      <c r="AA816" s="1277"/>
      <c r="AE816" s="1268">
        <f t="shared" si="179"/>
        <v>0</v>
      </c>
      <c r="AF816" s="1268"/>
      <c r="AG816" s="1268">
        <f t="shared" si="180"/>
        <v>0</v>
      </c>
      <c r="AH816" s="1268"/>
      <c r="AI816" s="1268">
        <f t="shared" si="181"/>
        <v>0</v>
      </c>
      <c r="AJ816" s="1268"/>
      <c r="AK816" s="1268">
        <f t="shared" si="182"/>
        <v>0</v>
      </c>
      <c r="AL816" s="1268"/>
      <c r="AM816" s="1268">
        <f t="shared" si="183"/>
        <v>0</v>
      </c>
      <c r="AN816" s="1268"/>
      <c r="AV816" s="1268">
        <f t="shared" si="184"/>
        <v>0</v>
      </c>
      <c r="AW816" s="1268"/>
      <c r="AX816" s="1268">
        <f t="shared" si="185"/>
        <v>0</v>
      </c>
      <c r="AY816" s="1268"/>
      <c r="AZ816" s="1268">
        <f t="shared" si="186"/>
        <v>0</v>
      </c>
      <c r="BA816" s="1268"/>
      <c r="BB816" s="1268">
        <f t="shared" si="187"/>
        <v>0</v>
      </c>
      <c r="BC816" s="1268"/>
      <c r="BD816" s="1268">
        <f t="shared" si="188"/>
        <v>0</v>
      </c>
      <c r="BE816" s="1268"/>
      <c r="BQ816" s="201"/>
    </row>
    <row r="817" spans="8:69" hidden="1" outlineLevel="1" x14ac:dyDescent="0.15">
      <c r="H817" s="479" t="str">
        <f t="shared" si="177"/>
        <v>Ginevra</v>
      </c>
      <c r="K817" s="480" t="str">
        <f t="shared" si="178"/>
        <v>Ginevra</v>
      </c>
      <c r="R817" s="1276">
        <v>0.11550000000000001</v>
      </c>
      <c r="S817" s="1276"/>
      <c r="T817" s="1276">
        <v>0.20250000000000001</v>
      </c>
      <c r="U817" s="1276"/>
      <c r="V817" s="1276">
        <v>0.34100000000000003</v>
      </c>
      <c r="W817" s="1276"/>
      <c r="X817" s="1276">
        <v>0.55800000000000005</v>
      </c>
      <c r="Y817" s="1276"/>
      <c r="Z817" s="1276">
        <v>0.77649999999999997</v>
      </c>
      <c r="AA817" s="1276"/>
      <c r="AE817" s="1268">
        <f t="shared" si="179"/>
        <v>0</v>
      </c>
      <c r="AF817" s="1268"/>
      <c r="AG817" s="1268">
        <f t="shared" si="180"/>
        <v>0</v>
      </c>
      <c r="AH817" s="1268"/>
      <c r="AI817" s="1268">
        <f t="shared" si="181"/>
        <v>0</v>
      </c>
      <c r="AJ817" s="1268"/>
      <c r="AK817" s="1268">
        <f t="shared" si="182"/>
        <v>0</v>
      </c>
      <c r="AL817" s="1268"/>
      <c r="AM817" s="1268">
        <f t="shared" si="183"/>
        <v>0</v>
      </c>
      <c r="AN817" s="1268"/>
      <c r="AV817" s="1268">
        <f t="shared" si="184"/>
        <v>0</v>
      </c>
      <c r="AW817" s="1268"/>
      <c r="AX817" s="1268">
        <f t="shared" si="185"/>
        <v>0</v>
      </c>
      <c r="AY817" s="1268"/>
      <c r="AZ817" s="1268">
        <f t="shared" si="186"/>
        <v>0</v>
      </c>
      <c r="BA817" s="1268"/>
      <c r="BB817" s="1268">
        <f t="shared" si="187"/>
        <v>0</v>
      </c>
      <c r="BC817" s="1268"/>
      <c r="BD817" s="1268">
        <f t="shared" si="188"/>
        <v>0</v>
      </c>
      <c r="BE817" s="1268"/>
      <c r="BQ817" s="201"/>
    </row>
    <row r="818" spans="8:69" hidden="1" outlineLevel="1" x14ac:dyDescent="0.15">
      <c r="H818" s="479" t="str">
        <f t="shared" si="177"/>
        <v>La-Chaux-de-Fonds</v>
      </c>
      <c r="K818" s="480" t="str">
        <f t="shared" si="178"/>
        <v>La-Chaux-de-Fonds</v>
      </c>
      <c r="R818" s="1276">
        <v>0.17050000000000001</v>
      </c>
      <c r="S818" s="1276"/>
      <c r="T818" s="1276">
        <v>0.28400000000000003</v>
      </c>
      <c r="U818" s="1276"/>
      <c r="V818" s="1276">
        <v>0.43600000000000005</v>
      </c>
      <c r="W818" s="1276"/>
      <c r="X818" s="1276">
        <v>0.66449999999999998</v>
      </c>
      <c r="Y818" s="1276"/>
      <c r="Z818" s="1276">
        <v>0.84099999999999997</v>
      </c>
      <c r="AA818" s="1276"/>
      <c r="AE818" s="1268">
        <f t="shared" si="179"/>
        <v>0</v>
      </c>
      <c r="AF818" s="1268"/>
      <c r="AG818" s="1268">
        <f t="shared" si="180"/>
        <v>0</v>
      </c>
      <c r="AH818" s="1268"/>
      <c r="AI818" s="1268">
        <f t="shared" si="181"/>
        <v>0</v>
      </c>
      <c r="AJ818" s="1268"/>
      <c r="AK818" s="1268">
        <f t="shared" si="182"/>
        <v>0</v>
      </c>
      <c r="AL818" s="1268"/>
      <c r="AM818" s="1268">
        <f t="shared" si="183"/>
        <v>0</v>
      </c>
      <c r="AN818" s="1268"/>
      <c r="AV818" s="1268">
        <f t="shared" si="184"/>
        <v>0</v>
      </c>
      <c r="AW818" s="1268"/>
      <c r="AX818" s="1268">
        <f t="shared" si="185"/>
        <v>0</v>
      </c>
      <c r="AY818" s="1268"/>
      <c r="AZ818" s="1268">
        <f t="shared" si="186"/>
        <v>0</v>
      </c>
      <c r="BA818" s="1268"/>
      <c r="BB818" s="1268">
        <f t="shared" si="187"/>
        <v>0</v>
      </c>
      <c r="BC818" s="1268"/>
      <c r="BD818" s="1268">
        <f t="shared" si="188"/>
        <v>0</v>
      </c>
      <c r="BE818" s="1268"/>
      <c r="BQ818" s="201"/>
    </row>
    <row r="819" spans="8:69" hidden="1" outlineLevel="1" x14ac:dyDescent="0.15">
      <c r="H819" s="479" t="str">
        <f t="shared" si="177"/>
        <v>Lugano</v>
      </c>
      <c r="K819" s="480" t="str">
        <f t="shared" si="178"/>
        <v>Lugano</v>
      </c>
      <c r="R819" s="1277">
        <v>6.6000000000000003E-2</v>
      </c>
      <c r="S819" s="1277"/>
      <c r="T819" s="1277">
        <v>0.17399999999999999</v>
      </c>
      <c r="U819" s="1277"/>
      <c r="V819" s="1277">
        <v>0.28450000000000003</v>
      </c>
      <c r="W819" s="1277"/>
      <c r="X819" s="1277">
        <v>0.46800000000000003</v>
      </c>
      <c r="Y819" s="1277"/>
      <c r="Z819" s="1277">
        <v>0.67949999999999999</v>
      </c>
      <c r="AA819" s="1277"/>
      <c r="AE819" s="1268">
        <f t="shared" si="179"/>
        <v>0</v>
      </c>
      <c r="AF819" s="1268"/>
      <c r="AG819" s="1268">
        <f t="shared" si="180"/>
        <v>0</v>
      </c>
      <c r="AH819" s="1268"/>
      <c r="AI819" s="1268">
        <f t="shared" si="181"/>
        <v>0</v>
      </c>
      <c r="AJ819" s="1268"/>
      <c r="AK819" s="1268">
        <f t="shared" si="182"/>
        <v>0</v>
      </c>
      <c r="AL819" s="1268"/>
      <c r="AM819" s="1268">
        <f t="shared" si="183"/>
        <v>0</v>
      </c>
      <c r="AN819" s="1268"/>
      <c r="AV819" s="1268">
        <f t="shared" si="184"/>
        <v>0</v>
      </c>
      <c r="AW819" s="1268"/>
      <c r="AX819" s="1268">
        <f t="shared" si="185"/>
        <v>0</v>
      </c>
      <c r="AY819" s="1268"/>
      <c r="AZ819" s="1268">
        <f t="shared" si="186"/>
        <v>0</v>
      </c>
      <c r="BA819" s="1268"/>
      <c r="BB819" s="1268">
        <f t="shared" si="187"/>
        <v>0</v>
      </c>
      <c r="BC819" s="1268"/>
      <c r="BD819" s="1268">
        <f t="shared" si="188"/>
        <v>0</v>
      </c>
      <c r="BE819" s="1268"/>
      <c r="BQ819" s="201"/>
    </row>
    <row r="820" spans="8:69" hidden="1" outlineLevel="1" x14ac:dyDescent="0.15">
      <c r="H820" s="479" t="str">
        <f t="shared" si="177"/>
        <v>San Gallo</v>
      </c>
      <c r="K820" s="480" t="str">
        <f t="shared" si="178"/>
        <v>San Gallo</v>
      </c>
      <c r="R820" s="1277">
        <v>0.14850000000000002</v>
      </c>
      <c r="S820" s="1277"/>
      <c r="T820" s="1277">
        <v>0.26100000000000001</v>
      </c>
      <c r="U820" s="1277"/>
      <c r="V820" s="1277">
        <v>0.40400000000000003</v>
      </c>
      <c r="W820" s="1277"/>
      <c r="X820" s="1277">
        <v>0.63350000000000006</v>
      </c>
      <c r="Y820" s="1277"/>
      <c r="Z820" s="1277">
        <v>0.82200000000000006</v>
      </c>
      <c r="AA820" s="1277"/>
      <c r="AE820" s="1268">
        <f>IF($AE$736=$H$811,IF($AE$737=$H$812,IF($AE$738=AE$746,IF($AE$739=$K820,R820,0),0),0),0)</f>
        <v>0</v>
      </c>
      <c r="AF820" s="1268"/>
      <c r="AG820" s="1268">
        <f>IF($AE$736=$H$811,IF($AE$737=$H$812,IF($AE$738=AG$746,IF($AE$739=$K820,T820,0),0),0),0)</f>
        <v>0</v>
      </c>
      <c r="AH820" s="1268"/>
      <c r="AI820" s="1268">
        <f>IF($AE$736=$H$811,IF($AE$737=$H$812,IF($AE$738=AI$746,IF($AE$739=$K820,V820,0),0),0),0)</f>
        <v>0</v>
      </c>
      <c r="AJ820" s="1268"/>
      <c r="AK820" s="1268">
        <f>IF($AE$736=$H$811,IF($AE$737=$H$812,IF($AE$738=AK$746,IF($AE$739=$K820,X820,0),0),0),0)</f>
        <v>0</v>
      </c>
      <c r="AL820" s="1268"/>
      <c r="AM820" s="1268">
        <f>IF($AE$736=$H$811,IF($AE$737=$H$812,IF($AE$738=AM$746,IF($AE$739=$K820,Z820,0),0),0),0)</f>
        <v>0</v>
      </c>
      <c r="AN820" s="1268"/>
      <c r="AV820" s="1268">
        <f>IF($AV$736=$H$811,IF($AV$737=$H$812,IF($AV$738=AV$746,IF($AV$739=$K820,R820,0),0),0),0)</f>
        <v>0</v>
      </c>
      <c r="AW820" s="1268"/>
      <c r="AX820" s="1268">
        <f>IF($AV$736=$H$811,IF($AV$737=$H$812,IF($AV$738=AX$746,IF($AV$739=$K820,T820,0),0),0),0)</f>
        <v>0</v>
      </c>
      <c r="AY820" s="1268"/>
      <c r="AZ820" s="1268">
        <f>IF($AV$736=$H$811,IF($AV$737=$H$812,IF($AV$738=AZ$746,IF($AV$739=$K820,V820,0),0),0),0)</f>
        <v>0</v>
      </c>
      <c r="BA820" s="1268"/>
      <c r="BB820" s="1268">
        <f>IF($AV$736=$H$811,IF($AV$737=$H$812,IF($AV$738=BB$746,IF($AV$739=$K820,X820,0),0),0),0)</f>
        <v>0</v>
      </c>
      <c r="BC820" s="1268"/>
      <c r="BD820" s="1268">
        <f>IF($AV$736=$H$811,IF($AV$737=$H$812,IF($AV$738=BD$746,IF($AV$739=$K820,Z820,0),0),0),0)</f>
        <v>0</v>
      </c>
      <c r="BE820" s="1268"/>
      <c r="BQ820" s="201"/>
    </row>
    <row r="821" spans="8:69" hidden="1" outlineLevel="1" x14ac:dyDescent="0.15">
      <c r="H821" s="479" t="str">
        <f t="shared" si="177"/>
        <v>Zurigo</v>
      </c>
      <c r="K821" s="480" t="str">
        <f t="shared" si="178"/>
        <v>Zurigo</v>
      </c>
      <c r="R821" s="1277">
        <v>0.12100000000000001</v>
      </c>
      <c r="S821" s="1277"/>
      <c r="T821" s="1277">
        <v>0.21900000000000003</v>
      </c>
      <c r="U821" s="1277"/>
      <c r="V821" s="1277">
        <v>0.34750000000000003</v>
      </c>
      <c r="W821" s="1277"/>
      <c r="X821" s="1277">
        <v>0.5645</v>
      </c>
      <c r="Y821" s="1277"/>
      <c r="Z821" s="1277">
        <v>0.79200000000000004</v>
      </c>
      <c r="AA821" s="1277"/>
      <c r="AE821" s="1268">
        <f>IF($AE$736=$H$811,IF($AE$737=$H$812,IF($AE$738=AE$746,IF($AE$739=$K821,R821,0),0),0),0)</f>
        <v>0</v>
      </c>
      <c r="AF821" s="1268"/>
      <c r="AG821" s="1268">
        <f>IF($AE$736=$H$811,IF($AE$737=$H$812,IF($AE$738=AG$746,IF($AE$739=$K821,T821,0),0),0),0)</f>
        <v>0</v>
      </c>
      <c r="AH821" s="1268"/>
      <c r="AI821" s="1268">
        <f>IF($AE$736=$H$811,IF($AE$737=$H$812,IF($AE$738=AI$746,IF($AE$739=$K821,V821,0),0),0),0)</f>
        <v>0</v>
      </c>
      <c r="AJ821" s="1268"/>
      <c r="AK821" s="1268">
        <f>IF($AE$736=$H$811,IF($AE$737=$H$812,IF($AE$738=AK$746,IF($AE$739=$K821,X821,0),0),0),0)</f>
        <v>0</v>
      </c>
      <c r="AL821" s="1268"/>
      <c r="AM821" s="1268">
        <f>IF($AE$736=$H$811,IF($AE$737=$H$812,IF($AE$738=AM$746,IF($AE$739=$K821,Z821,0),0),0),0)</f>
        <v>0</v>
      </c>
      <c r="AN821" s="1268"/>
      <c r="AV821" s="1268">
        <f>IF($AV$736=$H$811,IF($AV$737=$H$812,IF($AV$738=AV$746,IF($AV$739=$K821,R821,0),0),0),0)</f>
        <v>0</v>
      </c>
      <c r="AW821" s="1268"/>
      <c r="AX821" s="1268">
        <f>IF($AV$736=$H$811,IF($AV$737=$H$812,IF($AV$738=AX$746,IF($AV$739=$K821,T821,0),0),0),0)</f>
        <v>0</v>
      </c>
      <c r="AY821" s="1268"/>
      <c r="AZ821" s="1268">
        <f>IF($AV$736=$H$811,IF($AV$737=$H$812,IF($AV$738=AZ$746,IF($AV$739=$K821,V821,0),0),0),0)</f>
        <v>0</v>
      </c>
      <c r="BA821" s="1268"/>
      <c r="BB821" s="1268">
        <f>IF($AV$736=$H$811,IF($AV$737=$H$812,IF($AV$738=BB$746,IF($AV$739=$K821,X821,0),0),0),0)</f>
        <v>0</v>
      </c>
      <c r="BC821" s="1268"/>
      <c r="BD821" s="1268">
        <f>IF($AV$736=$H$811,IF($AV$737=$H$812,IF($AV$738=BD$746,IF($AV$739=$K821,Z821,0),0),0),0)</f>
        <v>0</v>
      </c>
      <c r="BE821" s="1268"/>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Impianto con 7'500 ore di funz. a pieno regime all'anno</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Impianto con 7'500 ore di funz. a pieno regime all'anno</v>
      </c>
      <c r="R826" s="70"/>
      <c r="T826" s="70"/>
      <c r="V826" s="70"/>
      <c r="X826" s="70"/>
      <c r="Z826" s="70"/>
      <c r="BQ826" s="201"/>
    </row>
    <row r="827" spans="8:69" hidden="1" outlineLevel="1" x14ac:dyDescent="0.15">
      <c r="H827" s="482" t="str">
        <f>X$494</f>
        <v>Secco</v>
      </c>
      <c r="R827" s="1273" t="s">
        <v>788</v>
      </c>
      <c r="S827" s="1273"/>
      <c r="T827" s="1273"/>
      <c r="U827" s="1273"/>
      <c r="V827" s="1273"/>
      <c r="W827" s="1273"/>
      <c r="X827" s="1273"/>
      <c r="Y827" s="1273"/>
      <c r="Z827" s="1273"/>
      <c r="AA827" s="1273"/>
      <c r="AE827" s="1273" t="s">
        <v>788</v>
      </c>
      <c r="AF827" s="1273"/>
      <c r="AG827" s="1273"/>
      <c r="AH827" s="1273"/>
      <c r="AI827" s="1273"/>
      <c r="AJ827" s="1273"/>
      <c r="AK827" s="1273"/>
      <c r="AL827" s="1273"/>
      <c r="AM827" s="1273"/>
      <c r="AN827" s="1273"/>
      <c r="AV827" s="1273" t="s">
        <v>788</v>
      </c>
      <c r="AW827" s="1273"/>
      <c r="AX827" s="1273"/>
      <c r="AY827" s="1273"/>
      <c r="AZ827" s="1273"/>
      <c r="BA827" s="1273"/>
      <c r="BB827" s="1273"/>
      <c r="BC827" s="1273"/>
      <c r="BD827" s="1273"/>
      <c r="BE827" s="1273"/>
      <c r="BQ827" s="201"/>
    </row>
    <row r="828" spans="8:69" hidden="1" outlineLevel="1" x14ac:dyDescent="0.15">
      <c r="H828"/>
      <c r="R828" s="1273">
        <v>6</v>
      </c>
      <c r="S828" s="1273"/>
      <c r="T828" s="1273">
        <v>10</v>
      </c>
      <c r="U828" s="1273"/>
      <c r="V828" s="1273">
        <v>14</v>
      </c>
      <c r="W828" s="1273"/>
      <c r="X828" s="1273">
        <v>18</v>
      </c>
      <c r="Y828" s="1273"/>
      <c r="Z828" s="1273">
        <v>22</v>
      </c>
      <c r="AA828" s="1273"/>
      <c r="AE828" s="1273">
        <v>6</v>
      </c>
      <c r="AF828" s="1273"/>
      <c r="AG828" s="1273">
        <v>10</v>
      </c>
      <c r="AH828" s="1273"/>
      <c r="AI828" s="1273">
        <v>14</v>
      </c>
      <c r="AJ828" s="1273"/>
      <c r="AK828" s="1273">
        <v>18</v>
      </c>
      <c r="AL828" s="1273"/>
      <c r="AM828" s="1273">
        <v>22</v>
      </c>
      <c r="AN828" s="1273"/>
      <c r="AO828" s="1274">
        <f>SUM(AE829:AN836)</f>
        <v>0</v>
      </c>
      <c r="AP828" s="1275"/>
      <c r="AV828" s="1273">
        <v>6</v>
      </c>
      <c r="AW828" s="1273"/>
      <c r="AX828" s="1273">
        <v>10</v>
      </c>
      <c r="AY828" s="1273"/>
      <c r="AZ828" s="1273">
        <v>14</v>
      </c>
      <c r="BA828" s="1273"/>
      <c r="BB828" s="1273">
        <v>18</v>
      </c>
      <c r="BC828" s="1273"/>
      <c r="BD828" s="1273">
        <v>22</v>
      </c>
      <c r="BE828" s="1273"/>
      <c r="BF828" s="1274">
        <f>SUM(AV829:BE836)</f>
        <v>0</v>
      </c>
      <c r="BG828" s="1275"/>
      <c r="BQ828" s="201"/>
    </row>
    <row r="829" spans="8:69" hidden="1" outlineLevel="1" x14ac:dyDescent="0.15">
      <c r="H829" s="479" t="str">
        <f>H598</f>
        <v>Basilea</v>
      </c>
      <c r="K829" s="480" t="str">
        <f>H760</f>
        <v>Basilea</v>
      </c>
      <c r="R829" s="1277">
        <v>0.18</v>
      </c>
      <c r="S829" s="1277"/>
      <c r="T829" s="1277">
        <v>0.34</v>
      </c>
      <c r="U829" s="1277"/>
      <c r="V829" s="1277">
        <v>0.48</v>
      </c>
      <c r="W829" s="1277"/>
      <c r="X829" s="1277">
        <v>0.65</v>
      </c>
      <c r="Y829" s="1277"/>
      <c r="Z829" s="1277">
        <v>0.79</v>
      </c>
      <c r="AA829" s="1277"/>
      <c r="AE829" s="1268">
        <f>IF($AE$736=$H$826,IF($AE$737=$H$827,IF($AE$738=AE$746,IF($AE$739=$K829,R829,0),0),0),0)</f>
        <v>0</v>
      </c>
      <c r="AF829" s="1268"/>
      <c r="AG829" s="1268">
        <f>IF($AE$736=$H$826,IF($AE$737=$H$827,IF($AE$738=AG$746,IF($AE$739=$K829,T829,0),0),0),0)</f>
        <v>0</v>
      </c>
      <c r="AH829" s="1268"/>
      <c r="AI829" s="1268">
        <f>IF($AE$736=$H$826,IF($AE$737=$H$827,IF($AE$738=AI$746,IF($AE$739=$K829,V829,0),0),0),0)</f>
        <v>0</v>
      </c>
      <c r="AJ829" s="1268"/>
      <c r="AK829" s="1268">
        <f>IF($AE$736=$H$826,IF($AE$737=$H$827,IF($AE$738=AK$746,IF($AE$739=$K829,X829,0),0),0),0)</f>
        <v>0</v>
      </c>
      <c r="AL829" s="1268"/>
      <c r="AM829" s="1268">
        <f>IF($AE$736=$H$826,IF($AE$737=$H$827,IF($AE$738=AM$746,IF($AE$739=$K829,Z829,0),0),0),0)</f>
        <v>0</v>
      </c>
      <c r="AN829" s="1268"/>
      <c r="AV829" s="1268">
        <f>IF($AV$736=$H$826,IF($AV$737=$H$827,IF($AV$738=AV$746,IF($AV$739=$K829,R829,0),0),0),0)</f>
        <v>0</v>
      </c>
      <c r="AW829" s="1268"/>
      <c r="AX829" s="1268">
        <f>IF($AV$736=$H$826,IF($AV$737=$H$827,IF($AV$738=AX$746,IF($AV$739=$K829,T829,0),0),0),0)</f>
        <v>0</v>
      </c>
      <c r="AY829" s="1268"/>
      <c r="AZ829" s="1268">
        <f>IF($AV$736=$H$826,IF($AV$737=$H$827,IF($AV$738=AZ$746,IF($AV$739=$K829,V829,0),0),0),0)</f>
        <v>0</v>
      </c>
      <c r="BA829" s="1268"/>
      <c r="BB829" s="1268">
        <f>IF($AV$736=$H$826,IF($AV$737=$H$827,IF($AV$738=BB$746,IF($AV$739=$K829,X829,0),0),0),0)</f>
        <v>0</v>
      </c>
      <c r="BC829" s="1268"/>
      <c r="BD829" s="1268">
        <f>IF($AV$736=$H$826,IF($AV$737=$H$827,IF($AV$738=BD$746,IF($AV$739=$K829,Z829,0),0),0),0)</f>
        <v>0</v>
      </c>
      <c r="BE829" s="1268"/>
      <c r="BQ829" s="201"/>
    </row>
    <row r="830" spans="8:69" hidden="1" outlineLevel="1" x14ac:dyDescent="0.15">
      <c r="H830" s="479" t="str">
        <f t="shared" ref="H830:H836" si="189">H599</f>
        <v>Berna</v>
      </c>
      <c r="K830" s="480" t="str">
        <f t="shared" ref="K830:K836" si="190">H761</f>
        <v>Berna</v>
      </c>
      <c r="R830" s="1276">
        <v>0.22</v>
      </c>
      <c r="S830" s="1276"/>
      <c r="T830" s="1276">
        <v>0.36</v>
      </c>
      <c r="U830" s="1276"/>
      <c r="V830" s="1276">
        <v>0.5</v>
      </c>
      <c r="W830" s="1276"/>
      <c r="X830" s="1276">
        <v>0.65</v>
      </c>
      <c r="Y830" s="1276"/>
      <c r="Z830" s="1276">
        <v>0.8</v>
      </c>
      <c r="AA830" s="1276"/>
      <c r="AE830" s="1268">
        <f t="shared" ref="AE830:AE834" si="191">IF($AE$736=$H$826,IF($AE$737=$H$827,IF($AE$738=AE$746,IF($AE$739=$K830,R830,0),0),0),0)</f>
        <v>0</v>
      </c>
      <c r="AF830" s="1268"/>
      <c r="AG830" s="1268">
        <f t="shared" ref="AG830:AG834" si="192">IF($AE$736=$H$826,IF($AE$737=$H$827,IF($AE$738=AG$746,IF($AE$739=$K830,T830,0),0),0),0)</f>
        <v>0</v>
      </c>
      <c r="AH830" s="1268"/>
      <c r="AI830" s="1268">
        <f t="shared" ref="AI830:AI834" si="193">IF($AE$736=$H$826,IF($AE$737=$H$827,IF($AE$738=AI$746,IF($AE$739=$K830,V830,0),0),0),0)</f>
        <v>0</v>
      </c>
      <c r="AJ830" s="1268"/>
      <c r="AK830" s="1268">
        <f t="shared" ref="AK830:AK834" si="194">IF($AE$736=$H$826,IF($AE$737=$H$827,IF($AE$738=AK$746,IF($AE$739=$K830,X830,0),0),0),0)</f>
        <v>0</v>
      </c>
      <c r="AL830" s="1268"/>
      <c r="AM830" s="1268">
        <f t="shared" ref="AM830:AM834" si="195">IF($AE$736=$H$826,IF($AE$737=$H$827,IF($AE$738=AM$746,IF($AE$739=$K830,Z830,0),0),0),0)</f>
        <v>0</v>
      </c>
      <c r="AN830" s="1268"/>
      <c r="AV830" s="1268">
        <f t="shared" ref="AV830:AV834" si="196">IF($AV$736=$H$826,IF($AV$737=$H$827,IF($AV$738=AV$746,IF($AV$739=$K830,R830,0),0),0),0)</f>
        <v>0</v>
      </c>
      <c r="AW830" s="1268"/>
      <c r="AX830" s="1268">
        <f t="shared" ref="AX830:AX834" si="197">IF($AV$736=$H$826,IF($AV$737=$H$827,IF($AV$738=AX$746,IF($AV$739=$K830,T830,0),0),0),0)</f>
        <v>0</v>
      </c>
      <c r="AY830" s="1268"/>
      <c r="AZ830" s="1268">
        <f t="shared" ref="AZ830:AZ834" si="198">IF($AV$736=$H$826,IF($AV$737=$H$827,IF($AV$738=AZ$746,IF($AV$739=$K830,V830,0),0),0),0)</f>
        <v>0</v>
      </c>
      <c r="BA830" s="1268"/>
      <c r="BB830" s="1268">
        <f t="shared" ref="BB830:BB834" si="199">IF($AV$736=$H$826,IF($AV$737=$H$827,IF($AV$738=BB$746,IF($AV$739=$K830,X830,0),0),0),0)</f>
        <v>0</v>
      </c>
      <c r="BC830" s="1268"/>
      <c r="BD830" s="1268">
        <f t="shared" ref="BD830:BD834" si="200">IF($AV$736=$H$826,IF($AV$737=$H$827,IF($AV$738=BD$746,IF($AV$739=$K830,Z830,0),0),0),0)</f>
        <v>0</v>
      </c>
      <c r="BE830" s="1268"/>
      <c r="BQ830" s="201"/>
    </row>
    <row r="831" spans="8:69" hidden="1" outlineLevel="1" x14ac:dyDescent="0.15">
      <c r="H831" s="479" t="str">
        <f t="shared" si="189"/>
        <v>Davos</v>
      </c>
      <c r="K831" s="480" t="str">
        <f t="shared" si="190"/>
        <v>Davos</v>
      </c>
      <c r="R831" s="1277">
        <v>0.42</v>
      </c>
      <c r="S831" s="1277"/>
      <c r="T831" s="1277">
        <v>0.57999999999999996</v>
      </c>
      <c r="U831" s="1277"/>
      <c r="V831" s="1278">
        <v>0.75</v>
      </c>
      <c r="W831" s="1278"/>
      <c r="X831" s="1277">
        <v>0.86</v>
      </c>
      <c r="Y831" s="1277"/>
      <c r="Z831" s="1277">
        <v>0.92</v>
      </c>
      <c r="AA831" s="1277"/>
      <c r="AE831" s="1268">
        <f t="shared" si="191"/>
        <v>0</v>
      </c>
      <c r="AF831" s="1268"/>
      <c r="AG831" s="1268">
        <f t="shared" si="192"/>
        <v>0</v>
      </c>
      <c r="AH831" s="1268"/>
      <c r="AI831" s="1268">
        <f t="shared" si="193"/>
        <v>0</v>
      </c>
      <c r="AJ831" s="1268"/>
      <c r="AK831" s="1268">
        <f t="shared" si="194"/>
        <v>0</v>
      </c>
      <c r="AL831" s="1268"/>
      <c r="AM831" s="1268">
        <f t="shared" si="195"/>
        <v>0</v>
      </c>
      <c r="AN831" s="1268"/>
      <c r="AV831" s="1268">
        <f t="shared" si="196"/>
        <v>0</v>
      </c>
      <c r="AW831" s="1268"/>
      <c r="AX831" s="1268">
        <f t="shared" si="197"/>
        <v>0</v>
      </c>
      <c r="AY831" s="1268"/>
      <c r="AZ831" s="1268">
        <f t="shared" si="198"/>
        <v>0</v>
      </c>
      <c r="BA831" s="1268"/>
      <c r="BB831" s="1268">
        <f t="shared" si="199"/>
        <v>0</v>
      </c>
      <c r="BC831" s="1268"/>
      <c r="BD831" s="1268">
        <f t="shared" si="200"/>
        <v>0</v>
      </c>
      <c r="BE831" s="1268"/>
      <c r="BQ831" s="201"/>
    </row>
    <row r="832" spans="8:69" hidden="1" outlineLevel="1" x14ac:dyDescent="0.15">
      <c r="H832" s="479" t="str">
        <f t="shared" si="189"/>
        <v>Ginevra</v>
      </c>
      <c r="K832" s="480" t="str">
        <f t="shared" si="190"/>
        <v>Ginevra</v>
      </c>
      <c r="R832" s="1276">
        <v>0.2</v>
      </c>
      <c r="S832" s="1276"/>
      <c r="T832" s="1276">
        <v>0.35</v>
      </c>
      <c r="U832" s="1276"/>
      <c r="V832" s="1276">
        <v>0.5</v>
      </c>
      <c r="W832" s="1276"/>
      <c r="X832" s="1276">
        <v>0.66</v>
      </c>
      <c r="Y832" s="1276"/>
      <c r="Z832" s="1276">
        <v>0.79</v>
      </c>
      <c r="AA832" s="1276"/>
      <c r="AE832" s="1268">
        <f t="shared" si="191"/>
        <v>0</v>
      </c>
      <c r="AF832" s="1268"/>
      <c r="AG832" s="1268">
        <f t="shared" si="192"/>
        <v>0</v>
      </c>
      <c r="AH832" s="1268"/>
      <c r="AI832" s="1268">
        <f t="shared" si="193"/>
        <v>0</v>
      </c>
      <c r="AJ832" s="1268"/>
      <c r="AK832" s="1268">
        <f t="shared" si="194"/>
        <v>0</v>
      </c>
      <c r="AL832" s="1268"/>
      <c r="AM832" s="1268">
        <f t="shared" si="195"/>
        <v>0</v>
      </c>
      <c r="AN832" s="1268"/>
      <c r="AV832" s="1268">
        <f t="shared" si="196"/>
        <v>0</v>
      </c>
      <c r="AW832" s="1268"/>
      <c r="AX832" s="1268">
        <f t="shared" si="197"/>
        <v>0</v>
      </c>
      <c r="AY832" s="1268"/>
      <c r="AZ832" s="1268">
        <f t="shared" si="198"/>
        <v>0</v>
      </c>
      <c r="BA832" s="1268"/>
      <c r="BB832" s="1268">
        <f t="shared" si="199"/>
        <v>0</v>
      </c>
      <c r="BC832" s="1268"/>
      <c r="BD832" s="1268">
        <f t="shared" si="200"/>
        <v>0</v>
      </c>
      <c r="BE832" s="1268"/>
      <c r="BQ832" s="201"/>
    </row>
    <row r="833" spans="8:69" hidden="1" outlineLevel="1" x14ac:dyDescent="0.15">
      <c r="H833" s="479" t="str">
        <f t="shared" si="189"/>
        <v>La-Chaux-de-Fonds</v>
      </c>
      <c r="K833" s="480" t="str">
        <f t="shared" si="190"/>
        <v>La-Chaux-de-Fonds</v>
      </c>
      <c r="R833" s="1276">
        <v>0.31</v>
      </c>
      <c r="S833" s="1276"/>
      <c r="T833" s="1276">
        <v>0.48</v>
      </c>
      <c r="U833" s="1276"/>
      <c r="V833" s="1276">
        <v>0.64</v>
      </c>
      <c r="W833" s="1276"/>
      <c r="X833" s="1276">
        <v>0.79</v>
      </c>
      <c r="Y833" s="1276"/>
      <c r="Z833" s="1276">
        <v>0.89</v>
      </c>
      <c r="AA833" s="1276"/>
      <c r="AE833" s="1268">
        <f t="shared" si="191"/>
        <v>0</v>
      </c>
      <c r="AF833" s="1268"/>
      <c r="AG833" s="1268">
        <f t="shared" si="192"/>
        <v>0</v>
      </c>
      <c r="AH833" s="1268"/>
      <c r="AI833" s="1268">
        <f t="shared" si="193"/>
        <v>0</v>
      </c>
      <c r="AJ833" s="1268"/>
      <c r="AK833" s="1268">
        <f t="shared" si="194"/>
        <v>0</v>
      </c>
      <c r="AL833" s="1268"/>
      <c r="AM833" s="1268">
        <f t="shared" si="195"/>
        <v>0</v>
      </c>
      <c r="AN833" s="1268"/>
      <c r="AV833" s="1268">
        <f t="shared" si="196"/>
        <v>0</v>
      </c>
      <c r="AW833" s="1268"/>
      <c r="AX833" s="1268">
        <f t="shared" si="197"/>
        <v>0</v>
      </c>
      <c r="AY833" s="1268"/>
      <c r="AZ833" s="1268">
        <f t="shared" si="198"/>
        <v>0</v>
      </c>
      <c r="BA833" s="1268"/>
      <c r="BB833" s="1268">
        <f t="shared" si="199"/>
        <v>0</v>
      </c>
      <c r="BC833" s="1268"/>
      <c r="BD833" s="1268">
        <f t="shared" si="200"/>
        <v>0</v>
      </c>
      <c r="BE833" s="1268"/>
      <c r="BQ833" s="201"/>
    </row>
    <row r="834" spans="8:69" hidden="1" outlineLevel="1" x14ac:dyDescent="0.15">
      <c r="H834" s="479" t="str">
        <f t="shared" si="189"/>
        <v>Lugano</v>
      </c>
      <c r="K834" s="480" t="str">
        <f t="shared" si="190"/>
        <v>Lugano</v>
      </c>
      <c r="R834" s="1277">
        <v>0.08</v>
      </c>
      <c r="S834" s="1277"/>
      <c r="T834" s="1277">
        <v>0.14000000000000001</v>
      </c>
      <c r="U834" s="1277"/>
      <c r="V834" s="1277">
        <v>0.4</v>
      </c>
      <c r="W834" s="1277"/>
      <c r="X834" s="1277">
        <v>0.55000000000000004</v>
      </c>
      <c r="Y834" s="1277"/>
      <c r="Z834" s="1277">
        <v>0.7</v>
      </c>
      <c r="AA834" s="1277"/>
      <c r="AE834" s="1268">
        <f t="shared" si="191"/>
        <v>0</v>
      </c>
      <c r="AF834" s="1268"/>
      <c r="AG834" s="1268">
        <f t="shared" si="192"/>
        <v>0</v>
      </c>
      <c r="AH834" s="1268"/>
      <c r="AI834" s="1268">
        <f t="shared" si="193"/>
        <v>0</v>
      </c>
      <c r="AJ834" s="1268"/>
      <c r="AK834" s="1268">
        <f t="shared" si="194"/>
        <v>0</v>
      </c>
      <c r="AL834" s="1268"/>
      <c r="AM834" s="1268">
        <f t="shared" si="195"/>
        <v>0</v>
      </c>
      <c r="AN834" s="1268"/>
      <c r="AV834" s="1268">
        <f t="shared" si="196"/>
        <v>0</v>
      </c>
      <c r="AW834" s="1268"/>
      <c r="AX834" s="1268">
        <f t="shared" si="197"/>
        <v>0</v>
      </c>
      <c r="AY834" s="1268"/>
      <c r="AZ834" s="1268">
        <f t="shared" si="198"/>
        <v>0</v>
      </c>
      <c r="BA834" s="1268"/>
      <c r="BB834" s="1268">
        <f t="shared" si="199"/>
        <v>0</v>
      </c>
      <c r="BC834" s="1268"/>
      <c r="BD834" s="1268">
        <f t="shared" si="200"/>
        <v>0</v>
      </c>
      <c r="BE834" s="1268"/>
      <c r="BQ834" s="201"/>
    </row>
    <row r="835" spans="8:69" hidden="1" outlineLevel="1" x14ac:dyDescent="0.15">
      <c r="H835" s="479" t="str">
        <f t="shared" si="189"/>
        <v>San Gallo</v>
      </c>
      <c r="K835" s="480" t="str">
        <f t="shared" si="190"/>
        <v>San Gallo</v>
      </c>
      <c r="R835" s="1277">
        <v>0.27</v>
      </c>
      <c r="S835" s="1277"/>
      <c r="T835" s="1277">
        <v>0.42</v>
      </c>
      <c r="U835" s="1277"/>
      <c r="V835" s="1277">
        <v>0.56999999999999995</v>
      </c>
      <c r="W835" s="1277"/>
      <c r="X835" s="1277">
        <v>0.74</v>
      </c>
      <c r="Y835" s="1277"/>
      <c r="Z835" s="1277">
        <v>0.85</v>
      </c>
      <c r="AA835" s="1277"/>
      <c r="AE835" s="1268">
        <f>IF($AE$736=$H$826,IF($AE$737=$H$827,IF($AE$738=AE$746,IF($AE$739=$K835,R835,0),0),0),0)</f>
        <v>0</v>
      </c>
      <c r="AF835" s="1268"/>
      <c r="AG835" s="1268">
        <f>IF($AE$736=$H$826,IF($AE$737=$H$827,IF($AE$738=AG$746,IF($AE$739=$K835,T835,0),0),0),0)</f>
        <v>0</v>
      </c>
      <c r="AH835" s="1268"/>
      <c r="AI835" s="1268">
        <f>IF($AE$736=$H$826,IF($AE$737=$H$827,IF($AE$738=AI$746,IF($AE$739=$K835,V835,0),0),0),0)</f>
        <v>0</v>
      </c>
      <c r="AJ835" s="1268"/>
      <c r="AK835" s="1268">
        <f>IF($AE$736=$H$826,IF($AE$737=$H$827,IF($AE$738=AK$746,IF($AE$739=$K835,X835,0),0),0),0)</f>
        <v>0</v>
      </c>
      <c r="AL835" s="1268"/>
      <c r="AM835" s="1268">
        <f>IF($AE$736=$H$826,IF($AE$737=$H$827,IF($AE$738=AM$746,IF($AE$739=$K835,Z835,0),0),0),0)</f>
        <v>0</v>
      </c>
      <c r="AN835" s="1268"/>
      <c r="AV835" s="1268">
        <f>IF($AV$736=$H$826,IF($AV$737=$H$827,IF($AV$738=AV$746,IF($AV$739=$K835,R835,0),0),0),0)</f>
        <v>0</v>
      </c>
      <c r="AW835" s="1268"/>
      <c r="AX835" s="1268">
        <f>IF($AV$736=$H$826,IF($AV$737=$H$827,IF($AV$738=AX$746,IF($AV$739=$K835,T835,0),0),0),0)</f>
        <v>0</v>
      </c>
      <c r="AY835" s="1268"/>
      <c r="AZ835" s="1268">
        <f>IF($AV$736=$H$826,IF($AV$737=$H$827,IF($AV$738=AZ$746,IF($AV$739=$K835,V835,0),0),0),0)</f>
        <v>0</v>
      </c>
      <c r="BA835" s="1268"/>
      <c r="BB835" s="1268">
        <f>IF($AV$736=$H$826,IF($AV$737=$H$827,IF($AV$738=BB$746,IF($AV$739=$K835,X835,0),0),0),0)</f>
        <v>0</v>
      </c>
      <c r="BC835" s="1268"/>
      <c r="BD835" s="1268">
        <f>IF($AV$736=$H$826,IF($AV$737=$H$827,IF($AV$738=BD$746,IF($AV$739=$K835,Z835,0),0),0),0)</f>
        <v>0</v>
      </c>
      <c r="BE835" s="1268"/>
      <c r="BQ835" s="201"/>
    </row>
    <row r="836" spans="8:69" hidden="1" outlineLevel="1" x14ac:dyDescent="0.15">
      <c r="H836" s="479" t="str">
        <f t="shared" si="189"/>
        <v>Zurigo</v>
      </c>
      <c r="K836" s="480" t="str">
        <f t="shared" si="190"/>
        <v>Zurigo</v>
      </c>
      <c r="R836" s="1277">
        <v>0.22</v>
      </c>
      <c r="S836" s="1277"/>
      <c r="T836" s="1277">
        <v>0.37</v>
      </c>
      <c r="U836" s="1277"/>
      <c r="V836" s="1277">
        <v>0.54</v>
      </c>
      <c r="W836" s="1277"/>
      <c r="X836" s="1277">
        <v>0.67</v>
      </c>
      <c r="Y836" s="1277"/>
      <c r="Z836" s="1277">
        <v>0.81</v>
      </c>
      <c r="AA836" s="1277"/>
      <c r="AE836" s="1268">
        <f>IF($AE$736=$H$826,IF($AE$737=$H$827,IF($AE$738=AE$746,IF($AE$739=$K836,R836,0),0),0),0)</f>
        <v>0</v>
      </c>
      <c r="AF836" s="1268"/>
      <c r="AG836" s="1268">
        <f>IF($AE$736=$H$826,IF($AE$737=$H$827,IF($AE$738=AG$746,IF($AE$739=$K836,T836,0),0),0),0)</f>
        <v>0</v>
      </c>
      <c r="AH836" s="1268"/>
      <c r="AI836" s="1268">
        <f>IF($AE$736=$H$826,IF($AE$737=$H$827,IF($AE$738=AI$746,IF($AE$739=$K836,V836,0),0),0),0)</f>
        <v>0</v>
      </c>
      <c r="AJ836" s="1268"/>
      <c r="AK836" s="1268">
        <f>IF($AE$736=$H$826,IF($AE$737=$H$827,IF($AE$738=AK$746,IF($AE$739=$K836,X836,0),0),0),0)</f>
        <v>0</v>
      </c>
      <c r="AL836" s="1268"/>
      <c r="AM836" s="1268">
        <f>IF($AE$736=$H$826,IF($AE$737=$H$827,IF($AE$738=AM$746,IF($AE$739=$K836,Z836,0),0),0),0)</f>
        <v>0</v>
      </c>
      <c r="AN836" s="1268"/>
      <c r="AV836" s="1268">
        <f>IF($AV$736=$H$826,IF($AV$737=$H$827,IF($AV$738=AV$746,IF($AV$739=$K836,R836,0),0),0),0)</f>
        <v>0</v>
      </c>
      <c r="AW836" s="1268"/>
      <c r="AX836" s="1268">
        <f>IF($AV$736=$H$826,IF($AV$737=$H$827,IF($AV$738=AX$746,IF($AV$739=$K836,T836,0),0),0),0)</f>
        <v>0</v>
      </c>
      <c r="AY836" s="1268"/>
      <c r="AZ836" s="1268">
        <f>IF($AV$736=$H$826,IF($AV$737=$H$827,IF($AV$738=AZ$746,IF($AV$739=$K836,V836,0),0),0),0)</f>
        <v>0</v>
      </c>
      <c r="BA836" s="1268"/>
      <c r="BB836" s="1268">
        <f>IF($AV$736=$H$826,IF($AV$737=$H$827,IF($AV$738=BB$746,IF($AV$739=$K836,X836,0),0),0),0)</f>
        <v>0</v>
      </c>
      <c r="BC836" s="1268"/>
      <c r="BD836" s="1268">
        <f>IF($AV$736=$H$826,IF($AV$737=$H$827,IF($AV$738=BD$746,IF($AV$739=$K836,Z836,0),0),0),0)</f>
        <v>0</v>
      </c>
      <c r="BE836" s="1268"/>
      <c r="BQ836" s="201"/>
    </row>
    <row r="837" spans="8:69" hidden="1" outlineLevel="1" x14ac:dyDescent="0.15">
      <c r="H837"/>
      <c r="U837"/>
      <c r="BQ837" s="201"/>
    </row>
    <row r="838" spans="8:69" hidden="1" outlineLevel="1" x14ac:dyDescent="0.15">
      <c r="H838" t="str">
        <f>H824</f>
        <v>D: Impianto con 7'500 ore di funz. a pieno regime all'anno</v>
      </c>
      <c r="U838"/>
      <c r="BQ838" s="201"/>
    </row>
    <row r="839" spans="8:69" hidden="1" outlineLevel="1" x14ac:dyDescent="0.15">
      <c r="H839" s="483" t="str">
        <f>X$495</f>
        <v>Ibrido</v>
      </c>
      <c r="R839" s="1269" t="s">
        <v>788</v>
      </c>
      <c r="S839" s="1269"/>
      <c r="T839" s="1269"/>
      <c r="U839" s="1269"/>
      <c r="V839" s="1269"/>
      <c r="W839" s="1269"/>
      <c r="X839" s="1269"/>
      <c r="Y839" s="1269"/>
      <c r="Z839" s="1269"/>
      <c r="AA839" s="1269"/>
      <c r="AE839" s="1269" t="s">
        <v>788</v>
      </c>
      <c r="AF839" s="1269"/>
      <c r="AG839" s="1269"/>
      <c r="AH839" s="1269"/>
      <c r="AI839" s="1269"/>
      <c r="AJ839" s="1269"/>
      <c r="AK839" s="1269"/>
      <c r="AL839" s="1269"/>
      <c r="AM839" s="1269"/>
      <c r="AN839" s="1269"/>
      <c r="AV839" s="1269" t="s">
        <v>788</v>
      </c>
      <c r="AW839" s="1269"/>
      <c r="AX839" s="1269"/>
      <c r="AY839" s="1269"/>
      <c r="AZ839" s="1269"/>
      <c r="BA839" s="1269"/>
      <c r="BB839" s="1269"/>
      <c r="BC839" s="1269"/>
      <c r="BD839" s="1269"/>
      <c r="BE839" s="1269"/>
      <c r="BQ839" s="201"/>
    </row>
    <row r="840" spans="8:69" hidden="1" outlineLevel="1" x14ac:dyDescent="0.15">
      <c r="H840"/>
      <c r="R840" s="1269">
        <v>6</v>
      </c>
      <c r="S840" s="1269"/>
      <c r="T840" s="1269">
        <v>10</v>
      </c>
      <c r="U840" s="1269"/>
      <c r="V840" s="1269">
        <v>14</v>
      </c>
      <c r="W840" s="1269"/>
      <c r="X840" s="1269">
        <v>18</v>
      </c>
      <c r="Y840" s="1269"/>
      <c r="Z840" s="1269">
        <v>22</v>
      </c>
      <c r="AA840" s="1269"/>
      <c r="AE840" s="1269">
        <v>6</v>
      </c>
      <c r="AF840" s="1269"/>
      <c r="AG840" s="1269">
        <v>10</v>
      </c>
      <c r="AH840" s="1269"/>
      <c r="AI840" s="1269">
        <v>14</v>
      </c>
      <c r="AJ840" s="1269"/>
      <c r="AK840" s="1269">
        <v>18</v>
      </c>
      <c r="AL840" s="1269"/>
      <c r="AM840" s="1269">
        <v>22</v>
      </c>
      <c r="AN840" s="1269"/>
      <c r="AO840" s="1274">
        <f>SUM(AE841:AN848)</f>
        <v>0</v>
      </c>
      <c r="AP840" s="1275"/>
      <c r="AV840" s="1269">
        <v>6</v>
      </c>
      <c r="AW840" s="1269"/>
      <c r="AX840" s="1269">
        <v>10</v>
      </c>
      <c r="AY840" s="1269"/>
      <c r="AZ840" s="1269">
        <v>14</v>
      </c>
      <c r="BA840" s="1269"/>
      <c r="BB840" s="1269">
        <v>18</v>
      </c>
      <c r="BC840" s="1269"/>
      <c r="BD840" s="1269">
        <v>22</v>
      </c>
      <c r="BE840" s="1269"/>
      <c r="BF840" s="1274">
        <f>SUM(AV841:BE848)</f>
        <v>0</v>
      </c>
      <c r="BG840" s="1275"/>
      <c r="BQ840" s="201"/>
    </row>
    <row r="841" spans="8:69" hidden="1" outlineLevel="1" x14ac:dyDescent="0.15">
      <c r="H841" s="479" t="str">
        <f>H598</f>
        <v>Basilea</v>
      </c>
      <c r="K841" s="480" t="str">
        <f>H760</f>
        <v>Basilea</v>
      </c>
      <c r="R841" s="1277">
        <v>0.19</v>
      </c>
      <c r="S841" s="1277"/>
      <c r="T841" s="1277">
        <v>0.36</v>
      </c>
      <c r="U841" s="1277"/>
      <c r="V841" s="1277">
        <v>0.53</v>
      </c>
      <c r="W841" s="1277"/>
      <c r="X841" s="1277">
        <v>0.72</v>
      </c>
      <c r="Y841" s="1277"/>
      <c r="Z841" s="1277">
        <v>0.88</v>
      </c>
      <c r="AA841" s="1277"/>
      <c r="AE841" s="1268">
        <f>IF($AE$736=$H$838,IF($AE$737=$H$839,IF($AE$738=AE$746,IF($AE$739=$K841,R841,0),0),0),0)</f>
        <v>0</v>
      </c>
      <c r="AF841" s="1268"/>
      <c r="AG841" s="1268">
        <f>IF($AE$736=$H$838,IF($AE$737=$H$839,IF($AE$738=AG$746,IF($AE$739=$K841,T841,0),0),0),0)</f>
        <v>0</v>
      </c>
      <c r="AH841" s="1268"/>
      <c r="AI841" s="1268">
        <f>IF($AE$736=$H$838,IF($AE$737=$H$839,IF($AE$738=AI$746,IF($AE$739=$K841,V841,0),0),0),0)</f>
        <v>0</v>
      </c>
      <c r="AJ841" s="1268"/>
      <c r="AK841" s="1268">
        <f>IF($AE$736=$H$838,IF($AE$737=$H$839,IF($AE$738=AK$746,IF($AE$739=$K841,X841,0),0),0),0)</f>
        <v>0</v>
      </c>
      <c r="AL841" s="1268"/>
      <c r="AM841" s="1268">
        <f>IF($AE$736=$H$838,IF($AE$737=$H$839,IF($AE$738=AM$746,IF($AE$739=$K841,Z841,0),0),0),0)</f>
        <v>0</v>
      </c>
      <c r="AN841" s="1268"/>
      <c r="AV841" s="1268">
        <f>IF($AV$736=$H$838,IF($AV$737=$H$839,IF($AV$738=AV$746,IF($AV$739=$K841,R841,0),0),0),0)</f>
        <v>0</v>
      </c>
      <c r="AW841" s="1268"/>
      <c r="AX841" s="1268">
        <f>IF($AV$736=$H$838,IF($AV$737=$H$839,IF($AV$738=AX$746,IF($AV$739=$K841,T841,0),0),0),0)</f>
        <v>0</v>
      </c>
      <c r="AY841" s="1268"/>
      <c r="AZ841" s="1268">
        <f>IF($AV$736=$H$838,IF($AV$737=$H$839,IF($AV$738=AZ$746,IF($AV$739=$K841,V841,0),0),0),0)</f>
        <v>0</v>
      </c>
      <c r="BA841" s="1268"/>
      <c r="BB841" s="1268">
        <f>IF($AV$736=$H$838,IF($AV$737=$H$839,IF($AV$738=BB$746,IF($AV$739=$K841,X841,0),0),0),0)</f>
        <v>0</v>
      </c>
      <c r="BC841" s="1268"/>
      <c r="BD841" s="1268">
        <f>IF($AV$736=$H$838,IF($AV$737=$H$839,IF($AV$738=BD$746,IF($AV$739=$K841,Z841,0),0),0),0)</f>
        <v>0</v>
      </c>
      <c r="BE841" s="1268"/>
      <c r="BQ841" s="201"/>
    </row>
    <row r="842" spans="8:69" hidden="1" outlineLevel="1" x14ac:dyDescent="0.15">
      <c r="H842" s="479" t="str">
        <f t="shared" ref="H842:H848" si="201">H599</f>
        <v>Berna</v>
      </c>
      <c r="K842" s="480" t="str">
        <f t="shared" ref="K842:K848" si="202">H761</f>
        <v>Berna</v>
      </c>
      <c r="R842" s="1276">
        <v>0.23</v>
      </c>
      <c r="S842" s="1276"/>
      <c r="T842" s="1276">
        <v>0.39</v>
      </c>
      <c r="U842" s="1276"/>
      <c r="V842" s="1276">
        <v>0.56000000000000005</v>
      </c>
      <c r="W842" s="1276"/>
      <c r="X842" s="1276">
        <v>0.74</v>
      </c>
      <c r="Y842" s="1276"/>
      <c r="Z842" s="1276">
        <v>0.9</v>
      </c>
      <c r="AA842" s="1276"/>
      <c r="AE842" s="1268">
        <f t="shared" ref="AE842:AE846" si="203">IF($AE$736=$H$838,IF($AE$737=$H$839,IF($AE$738=AE$746,IF($AE$739=$K842,R842,0),0),0),0)</f>
        <v>0</v>
      </c>
      <c r="AF842" s="1268"/>
      <c r="AG842" s="1268">
        <f t="shared" ref="AG842:AG846" si="204">IF($AE$736=$H$838,IF($AE$737=$H$839,IF($AE$738=AG$746,IF($AE$739=$K842,T842,0),0),0),0)</f>
        <v>0</v>
      </c>
      <c r="AH842" s="1268"/>
      <c r="AI842" s="1268">
        <f t="shared" ref="AI842:AI846" si="205">IF($AE$736=$H$838,IF($AE$737=$H$839,IF($AE$738=AI$746,IF($AE$739=$K842,V842,0),0),0),0)</f>
        <v>0</v>
      </c>
      <c r="AJ842" s="1268"/>
      <c r="AK842" s="1268">
        <f t="shared" ref="AK842:AK846" si="206">IF($AE$736=$H$838,IF($AE$737=$H$839,IF($AE$738=AK$746,IF($AE$739=$K842,X842,0),0),0),0)</f>
        <v>0</v>
      </c>
      <c r="AL842" s="1268"/>
      <c r="AM842" s="1268">
        <f t="shared" ref="AM842:AM846" si="207">IF($AE$736=$H$838,IF($AE$737=$H$839,IF($AE$738=AM$746,IF($AE$739=$K842,Z842,0),0),0),0)</f>
        <v>0</v>
      </c>
      <c r="AN842" s="1268"/>
      <c r="AV842" s="1268">
        <f t="shared" ref="AV842:AV846" si="208">IF($AV$736=$H$838,IF($AV$737=$H$839,IF($AV$738=AV$746,IF($AV$739=$K842,R842,0),0),0),0)</f>
        <v>0</v>
      </c>
      <c r="AW842" s="1268"/>
      <c r="AX842" s="1268">
        <f t="shared" ref="AX842:AX846" si="209">IF($AV$736=$H$838,IF($AV$737=$H$839,IF($AV$738=AX$746,IF($AV$739=$K842,T842,0),0),0),0)</f>
        <v>0</v>
      </c>
      <c r="AY842" s="1268"/>
      <c r="AZ842" s="1268">
        <f t="shared" ref="AZ842:AZ846" si="210">IF($AV$736=$H$838,IF($AV$737=$H$839,IF($AV$738=AZ$746,IF($AV$739=$K842,V842,0),0),0),0)</f>
        <v>0</v>
      </c>
      <c r="BA842" s="1268"/>
      <c r="BB842" s="1268">
        <f t="shared" ref="BB842:BB846" si="211">IF($AV$736=$H$838,IF($AV$737=$H$839,IF($AV$738=BB$746,IF($AV$739=$K842,X842,0),0),0),0)</f>
        <v>0</v>
      </c>
      <c r="BC842" s="1268"/>
      <c r="BD842" s="1268">
        <f t="shared" ref="BD842:BD846" si="212">IF($AV$736=$H$838,IF($AV$737=$H$839,IF($AV$738=BD$746,IF($AV$739=$K842,Z842,0),0),0),0)</f>
        <v>0</v>
      </c>
      <c r="BE842" s="1268"/>
      <c r="BQ842" s="201"/>
    </row>
    <row r="843" spans="8:69" hidden="1" outlineLevel="1" x14ac:dyDescent="0.15">
      <c r="H843" s="479" t="str">
        <f t="shared" si="201"/>
        <v>Davos</v>
      </c>
      <c r="K843" s="480" t="str">
        <f t="shared" si="202"/>
        <v>Davos</v>
      </c>
      <c r="R843" s="1277">
        <v>0.45</v>
      </c>
      <c r="S843" s="1277"/>
      <c r="T843" s="1277">
        <v>0.62</v>
      </c>
      <c r="U843" s="1277"/>
      <c r="V843" s="1278">
        <v>0.8</v>
      </c>
      <c r="W843" s="1278"/>
      <c r="X843" s="1277">
        <v>0.9</v>
      </c>
      <c r="Y843" s="1277"/>
      <c r="Z843" s="1277">
        <v>0.95</v>
      </c>
      <c r="AA843" s="1277"/>
      <c r="AE843" s="1268">
        <f>IF($AE$736=$H$838,IF($AE$737=$H$839,IF($AE$738=AE$746,IF($AE$739=$K843,R843,0),0),0),0)</f>
        <v>0</v>
      </c>
      <c r="AF843" s="1268"/>
      <c r="AG843" s="1268">
        <f t="shared" si="204"/>
        <v>0</v>
      </c>
      <c r="AH843" s="1268"/>
      <c r="AI843" s="1268">
        <f t="shared" si="205"/>
        <v>0</v>
      </c>
      <c r="AJ843" s="1268"/>
      <c r="AK843" s="1268">
        <f t="shared" si="206"/>
        <v>0</v>
      </c>
      <c r="AL843" s="1268"/>
      <c r="AM843" s="1268">
        <f t="shared" si="207"/>
        <v>0</v>
      </c>
      <c r="AN843" s="1268"/>
      <c r="AV843" s="1268">
        <f t="shared" si="208"/>
        <v>0</v>
      </c>
      <c r="AW843" s="1268"/>
      <c r="AX843" s="1268">
        <f t="shared" si="209"/>
        <v>0</v>
      </c>
      <c r="AY843" s="1268"/>
      <c r="AZ843" s="1268">
        <f t="shared" si="210"/>
        <v>0</v>
      </c>
      <c r="BA843" s="1268"/>
      <c r="BB843" s="1268">
        <f t="shared" si="211"/>
        <v>0</v>
      </c>
      <c r="BC843" s="1268"/>
      <c r="BD843" s="1268">
        <f t="shared" si="212"/>
        <v>0</v>
      </c>
      <c r="BE843" s="1268"/>
      <c r="BQ843" s="201"/>
    </row>
    <row r="844" spans="8:69" hidden="1" outlineLevel="1" x14ac:dyDescent="0.15">
      <c r="H844" s="479" t="str">
        <f t="shared" si="201"/>
        <v>Ginevra</v>
      </c>
      <c r="K844" s="480" t="str">
        <f t="shared" si="202"/>
        <v>Ginevra</v>
      </c>
      <c r="R844" s="1276">
        <v>0.21</v>
      </c>
      <c r="S844" s="1276"/>
      <c r="T844" s="1276">
        <v>0.36</v>
      </c>
      <c r="U844" s="1276"/>
      <c r="V844" s="1276">
        <v>0.53</v>
      </c>
      <c r="W844" s="1276"/>
      <c r="X844" s="1276">
        <v>0.72</v>
      </c>
      <c r="Y844" s="1276"/>
      <c r="Z844" s="1276">
        <v>0.88</v>
      </c>
      <c r="AA844" s="1276"/>
      <c r="AE844" s="1268">
        <f t="shared" si="203"/>
        <v>0</v>
      </c>
      <c r="AF844" s="1268"/>
      <c r="AG844" s="1268">
        <f t="shared" si="204"/>
        <v>0</v>
      </c>
      <c r="AH844" s="1268"/>
      <c r="AI844" s="1268">
        <f t="shared" si="205"/>
        <v>0</v>
      </c>
      <c r="AJ844" s="1268"/>
      <c r="AK844" s="1268">
        <f t="shared" si="206"/>
        <v>0</v>
      </c>
      <c r="AL844" s="1268"/>
      <c r="AM844" s="1268">
        <f t="shared" si="207"/>
        <v>0</v>
      </c>
      <c r="AN844" s="1268"/>
      <c r="AV844" s="1268">
        <f t="shared" si="208"/>
        <v>0</v>
      </c>
      <c r="AW844" s="1268"/>
      <c r="AX844" s="1268">
        <f t="shared" si="209"/>
        <v>0</v>
      </c>
      <c r="AY844" s="1268"/>
      <c r="AZ844" s="1268">
        <f t="shared" si="210"/>
        <v>0</v>
      </c>
      <c r="BA844" s="1268"/>
      <c r="BB844" s="1268">
        <f t="shared" si="211"/>
        <v>0</v>
      </c>
      <c r="BC844" s="1268"/>
      <c r="BD844" s="1268">
        <f t="shared" si="212"/>
        <v>0</v>
      </c>
      <c r="BE844" s="1268"/>
      <c r="BQ844" s="201"/>
    </row>
    <row r="845" spans="8:69" hidden="1" outlineLevel="1" x14ac:dyDescent="0.15">
      <c r="H845" s="479" t="str">
        <f t="shared" si="201"/>
        <v>La-Chaux-de-Fonds</v>
      </c>
      <c r="K845" s="480" t="str">
        <f t="shared" si="202"/>
        <v>La-Chaux-de-Fonds</v>
      </c>
      <c r="R845" s="1276">
        <v>0.31</v>
      </c>
      <c r="S845" s="1276"/>
      <c r="T845" s="1276">
        <v>0.5</v>
      </c>
      <c r="U845" s="1276"/>
      <c r="V845" s="1276">
        <v>0.67</v>
      </c>
      <c r="W845" s="1276"/>
      <c r="X845" s="1276">
        <v>0.84</v>
      </c>
      <c r="Y845" s="1276"/>
      <c r="Z845" s="1276">
        <v>0.94</v>
      </c>
      <c r="AA845" s="1276"/>
      <c r="AE845" s="1268">
        <f t="shared" si="203"/>
        <v>0</v>
      </c>
      <c r="AF845" s="1268"/>
      <c r="AG845" s="1268">
        <f t="shared" si="204"/>
        <v>0</v>
      </c>
      <c r="AH845" s="1268"/>
      <c r="AI845" s="1268">
        <f t="shared" si="205"/>
        <v>0</v>
      </c>
      <c r="AJ845" s="1268"/>
      <c r="AK845" s="1268">
        <f t="shared" si="206"/>
        <v>0</v>
      </c>
      <c r="AL845" s="1268"/>
      <c r="AM845" s="1268">
        <f t="shared" si="207"/>
        <v>0</v>
      </c>
      <c r="AN845" s="1268"/>
      <c r="AV845" s="1268">
        <f t="shared" si="208"/>
        <v>0</v>
      </c>
      <c r="AW845" s="1268"/>
      <c r="AX845" s="1268">
        <f t="shared" si="209"/>
        <v>0</v>
      </c>
      <c r="AY845" s="1268"/>
      <c r="AZ845" s="1268">
        <f t="shared" si="210"/>
        <v>0</v>
      </c>
      <c r="BA845" s="1268"/>
      <c r="BB845" s="1268">
        <f t="shared" si="211"/>
        <v>0</v>
      </c>
      <c r="BC845" s="1268"/>
      <c r="BD845" s="1268">
        <f t="shared" si="212"/>
        <v>0</v>
      </c>
      <c r="BE845" s="1268"/>
      <c r="BQ845" s="201"/>
    </row>
    <row r="846" spans="8:69" hidden="1" outlineLevel="1" x14ac:dyDescent="0.15">
      <c r="H846" s="479" t="str">
        <f t="shared" si="201"/>
        <v>Lugano</v>
      </c>
      <c r="K846" s="480" t="str">
        <f t="shared" si="202"/>
        <v>Lugano</v>
      </c>
      <c r="R846" s="1277">
        <v>0.12</v>
      </c>
      <c r="S846" s="1277"/>
      <c r="T846" s="1277">
        <v>0.3</v>
      </c>
      <c r="U846" s="1277"/>
      <c r="V846" s="1277">
        <v>0.46</v>
      </c>
      <c r="W846" s="1277"/>
      <c r="X846" s="1277">
        <v>0.63</v>
      </c>
      <c r="Y846" s="1277"/>
      <c r="Z846" s="1277">
        <v>0.81</v>
      </c>
      <c r="AA846" s="1277"/>
      <c r="AE846" s="1268">
        <f t="shared" si="203"/>
        <v>0</v>
      </c>
      <c r="AF846" s="1268"/>
      <c r="AG846" s="1268">
        <f t="shared" si="204"/>
        <v>0</v>
      </c>
      <c r="AH846" s="1268"/>
      <c r="AI846" s="1268">
        <f t="shared" si="205"/>
        <v>0</v>
      </c>
      <c r="AJ846" s="1268"/>
      <c r="AK846" s="1268">
        <f t="shared" si="206"/>
        <v>0</v>
      </c>
      <c r="AL846" s="1268"/>
      <c r="AM846" s="1268">
        <f t="shared" si="207"/>
        <v>0</v>
      </c>
      <c r="AN846" s="1268"/>
      <c r="AV846" s="1268">
        <f t="shared" si="208"/>
        <v>0</v>
      </c>
      <c r="AW846" s="1268"/>
      <c r="AX846" s="1268">
        <f t="shared" si="209"/>
        <v>0</v>
      </c>
      <c r="AY846" s="1268"/>
      <c r="AZ846" s="1268">
        <f t="shared" si="210"/>
        <v>0</v>
      </c>
      <c r="BA846" s="1268"/>
      <c r="BB846" s="1268">
        <f t="shared" si="211"/>
        <v>0</v>
      </c>
      <c r="BC846" s="1268"/>
      <c r="BD846" s="1268">
        <f t="shared" si="212"/>
        <v>0</v>
      </c>
      <c r="BE846" s="1268"/>
      <c r="BQ846" s="201"/>
    </row>
    <row r="847" spans="8:69" hidden="1" outlineLevel="1" x14ac:dyDescent="0.15">
      <c r="H847" s="479" t="str">
        <f t="shared" si="201"/>
        <v>San Gallo</v>
      </c>
      <c r="K847" s="480" t="str">
        <f t="shared" si="202"/>
        <v>San Gallo</v>
      </c>
      <c r="R847" s="1277">
        <v>0.27</v>
      </c>
      <c r="S847" s="1277"/>
      <c r="T847" s="1277">
        <v>0.45</v>
      </c>
      <c r="U847" s="1277"/>
      <c r="V847" s="1277">
        <v>0.62</v>
      </c>
      <c r="W847" s="1277"/>
      <c r="X847" s="1277">
        <v>0.8</v>
      </c>
      <c r="Y847" s="1277"/>
      <c r="Z847" s="1277">
        <v>0.93</v>
      </c>
      <c r="AA847" s="1277"/>
      <c r="AE847" s="1268">
        <f>IF($AE$736=$H$838,IF($AE$737=$H$839,IF($AE$738=AE$746,IF($AE$739=$K847,R847,0),0),0),0)</f>
        <v>0</v>
      </c>
      <c r="AF847" s="1268"/>
      <c r="AG847" s="1268">
        <f>IF($AE$736=$H$838,IF($AE$737=$H$839,IF($AE$738=AG$746,IF($AE$739=$K847,T847,0),0),0),0)</f>
        <v>0</v>
      </c>
      <c r="AH847" s="1268"/>
      <c r="AI847" s="1268">
        <f>IF($AE$736=$H$838,IF($AE$737=$H$839,IF($AE$738=AI$746,IF($AE$739=$K847,V847,0),0),0),0)</f>
        <v>0</v>
      </c>
      <c r="AJ847" s="1268"/>
      <c r="AK847" s="1268">
        <f>IF($AE$736=$H$838,IF($AE$737=$H$839,IF($AE$738=AK$746,IF($AE$739=$K847,X847,0),0),0),0)</f>
        <v>0</v>
      </c>
      <c r="AL847" s="1268"/>
      <c r="AM847" s="1268">
        <f>IF($AE$736=$H$838,IF($AE$737=$H$839,IF($AE$738=AM$746,IF($AE$739=$K847,Z847,0),0),0),0)</f>
        <v>0</v>
      </c>
      <c r="AN847" s="1268"/>
      <c r="AV847" s="1268">
        <f>IF($AV$736=$H$838,IF($AV$737=$H$839,IF($AV$738=AV$746,IF($AV$739=$K847,R847,0),0),0),0)</f>
        <v>0</v>
      </c>
      <c r="AW847" s="1268"/>
      <c r="AX847" s="1268">
        <f>IF($AV$736=$H$838,IF($AV$737=$H$839,IF($AV$738=AX$746,IF($AV$739=$K847,T847,0),0),0),0)</f>
        <v>0</v>
      </c>
      <c r="AY847" s="1268"/>
      <c r="AZ847" s="1268">
        <f>IF($AV$736=$H$838,IF($AV$737=$H$839,IF($AV$738=AZ$746,IF($AV$739=$K847,V847,0),0),0),0)</f>
        <v>0</v>
      </c>
      <c r="BA847" s="1268"/>
      <c r="BB847" s="1268">
        <f>IF($AV$736=$H$838,IF($AV$737=$H$839,IF($AV$738=BB$746,IF($AV$739=$K847,X847,0),0),0),0)</f>
        <v>0</v>
      </c>
      <c r="BC847" s="1268"/>
      <c r="BD847" s="1268">
        <f>IF($AV$736=$H$838,IF($AV$737=$H$839,IF($AV$738=BD$746,IF($AV$739=$K847,Z847,0),0),0),0)</f>
        <v>0</v>
      </c>
      <c r="BE847" s="1268"/>
      <c r="BQ847" s="201"/>
    </row>
    <row r="848" spans="8:69" hidden="1" outlineLevel="1" x14ac:dyDescent="0.15">
      <c r="H848" s="479" t="str">
        <f t="shared" si="201"/>
        <v>Zurigo</v>
      </c>
      <c r="K848" s="480" t="str">
        <f t="shared" si="202"/>
        <v>Zurigo</v>
      </c>
      <c r="R848" s="1277">
        <v>0.22</v>
      </c>
      <c r="S848" s="1277"/>
      <c r="T848" s="1277">
        <v>0.39</v>
      </c>
      <c r="U848" s="1277"/>
      <c r="V848" s="1277">
        <v>0.55000000000000004</v>
      </c>
      <c r="W848" s="1277"/>
      <c r="X848" s="1277">
        <v>0.74</v>
      </c>
      <c r="Y848" s="1277"/>
      <c r="Z848" s="1277">
        <v>0.9</v>
      </c>
      <c r="AA848" s="1277"/>
      <c r="AE848" s="1268">
        <f>IF($AE$736=$H$838,IF($AE$737=$H$839,IF($AE$738=AE$746,IF($AE$739=$K848,R848,0),0),0),0)</f>
        <v>0</v>
      </c>
      <c r="AF848" s="1268"/>
      <c r="AG848" s="1268">
        <f>IF($AE$736=$H$838,IF($AE$737=$H$839,IF($AE$738=AG$746,IF($AE$739=$K848,T848,0),0),0),0)</f>
        <v>0</v>
      </c>
      <c r="AH848" s="1268"/>
      <c r="AI848" s="1268">
        <f>IF($AE$736=$H$838,IF($AE$737=$H$839,IF($AE$738=AI$746,IF($AE$739=$K848,V848,0),0),0),0)</f>
        <v>0</v>
      </c>
      <c r="AJ848" s="1268"/>
      <c r="AK848" s="1268">
        <f>IF($AE$736=$H$838,IF($AE$737=$H$839,IF($AE$738=AK$746,IF($AE$739=$K848,X848,0),0),0),0)</f>
        <v>0</v>
      </c>
      <c r="AL848" s="1268"/>
      <c r="AM848" s="1268">
        <f>IF($AE$736=$H$838,IF($AE$737=$H$839,IF($AE$738=AM$746,IF($AE$739=$K848,Z848,0),0),0),0)</f>
        <v>0</v>
      </c>
      <c r="AN848" s="1268"/>
      <c r="AV848" s="1268">
        <f>IF($AV$736=$H$838,IF($AV$737=$H$839,IF($AV$738=AV$746,IF($AV$739=$K848,R848,0),0),0),0)</f>
        <v>0</v>
      </c>
      <c r="AW848" s="1268"/>
      <c r="AX848" s="1268">
        <f>IF($AV$736=$H$838,IF($AV$737=$H$839,IF($AV$738=AX$746,IF($AV$739=$K848,T848,0),0),0),0)</f>
        <v>0</v>
      </c>
      <c r="AY848" s="1268"/>
      <c r="AZ848" s="1268">
        <f>IF($AV$736=$H$838,IF($AV$737=$H$839,IF($AV$738=AZ$746,IF($AV$739=$K848,V848,0),0),0),0)</f>
        <v>0</v>
      </c>
      <c r="BA848" s="1268"/>
      <c r="BB848" s="1268">
        <f>IF($AV$736=$H$838,IF($AV$737=$H$839,IF($AV$738=BB$746,IF($AV$739=$K848,X848,0),0),0),0)</f>
        <v>0</v>
      </c>
      <c r="BC848" s="1268"/>
      <c r="BD848" s="1268">
        <f>IF($AV$736=$H$838,IF($AV$737=$H$839,IF($AV$738=BD$746,IF($AV$739=$K848,Z848,0),0),0),0)</f>
        <v>0</v>
      </c>
      <c r="BE848" s="1268"/>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366">
        <f>SUM(AO746:AP848)</f>
        <v>0</v>
      </c>
      <c r="AM850" s="1341"/>
      <c r="AN850" s="1341"/>
      <c r="AO850" s="1341"/>
      <c r="AP850" s="1341"/>
      <c r="AV850" s="283"/>
      <c r="AW850" s="283"/>
      <c r="AX850" s="283"/>
      <c r="AY850" s="283"/>
      <c r="AZ850" s="283"/>
      <c r="BA850" s="283"/>
      <c r="BB850" s="283"/>
      <c r="BC850" s="1366">
        <f>SUM(BF746:BG848)</f>
        <v>0</v>
      </c>
      <c r="BD850" s="1341"/>
      <c r="BE850" s="1341"/>
      <c r="BF850" s="1341"/>
      <c r="BG850" s="1341"/>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332" t="s">
        <v>788</v>
      </c>
      <c r="S855" s="1332"/>
      <c r="T855" s="1332"/>
      <c r="U855" s="1332"/>
      <c r="V855" s="1332"/>
      <c r="W855" s="1332"/>
      <c r="X855" s="1332"/>
      <c r="Y855" s="1332"/>
      <c r="Z855" s="1332"/>
      <c r="AA855" s="1332"/>
      <c r="AE855" s="1332" t="s">
        <v>788</v>
      </c>
      <c r="AF855" s="1332"/>
      <c r="AG855" s="1332"/>
      <c r="AH855" s="1332"/>
      <c r="AI855" s="1332"/>
      <c r="AJ855" s="1332"/>
      <c r="AK855" s="1332"/>
      <c r="AL855" s="1332"/>
      <c r="AM855" s="1332"/>
      <c r="AN855" s="1332"/>
      <c r="AV855" s="1332" t="s">
        <v>788</v>
      </c>
      <c r="AW855" s="1332"/>
      <c r="AX855" s="1332"/>
      <c r="AY855" s="1332"/>
      <c r="AZ855" s="1332"/>
      <c r="BA855" s="1332"/>
      <c r="BB855" s="1332"/>
      <c r="BC855" s="1332"/>
      <c r="BD855" s="1332"/>
      <c r="BE855" s="1332"/>
      <c r="BQ855" s="201"/>
      <c r="BT855" s="63" t="s">
        <v>1282</v>
      </c>
    </row>
    <row r="856" spans="8:72" hidden="1" outlineLevel="1" x14ac:dyDescent="0.15">
      <c r="R856" s="1332">
        <v>6</v>
      </c>
      <c r="S856" s="1332"/>
      <c r="T856" s="1332">
        <v>10</v>
      </c>
      <c r="U856" s="1332"/>
      <c r="V856" s="1332">
        <v>14</v>
      </c>
      <c r="W856" s="1332"/>
      <c r="X856" s="1332">
        <v>18</v>
      </c>
      <c r="Y856" s="1332"/>
      <c r="Z856" s="1332">
        <v>22</v>
      </c>
      <c r="AA856" s="1332"/>
      <c r="AE856" s="1332">
        <v>6</v>
      </c>
      <c r="AF856" s="1332"/>
      <c r="AG856" s="1332">
        <v>10</v>
      </c>
      <c r="AH856" s="1332"/>
      <c r="AI856" s="1332">
        <v>14</v>
      </c>
      <c r="AJ856" s="1332"/>
      <c r="AK856" s="1332">
        <v>18</v>
      </c>
      <c r="AL856" s="1332"/>
      <c r="AM856" s="1332">
        <v>22</v>
      </c>
      <c r="AN856" s="1332"/>
      <c r="AO856" s="1274">
        <f>SUM(AE857:AN860)</f>
        <v>0</v>
      </c>
      <c r="AP856" s="1275"/>
      <c r="AV856" s="1332">
        <v>6</v>
      </c>
      <c r="AW856" s="1332"/>
      <c r="AX856" s="1332">
        <v>10</v>
      </c>
      <c r="AY856" s="1332"/>
      <c r="AZ856" s="1332">
        <v>14</v>
      </c>
      <c r="BA856" s="1332"/>
      <c r="BB856" s="1332">
        <v>18</v>
      </c>
      <c r="BC856" s="1332"/>
      <c r="BD856" s="1332">
        <v>22</v>
      </c>
      <c r="BE856" s="1332"/>
      <c r="BF856" s="1274">
        <f>SUM(AV857:BE860)</f>
        <v>0</v>
      </c>
      <c r="BG856" s="1275"/>
      <c r="BQ856" s="201"/>
      <c r="BT856" s="63" t="s">
        <v>1283</v>
      </c>
    </row>
    <row r="857" spans="8:72" hidden="1" outlineLevel="1" x14ac:dyDescent="0.15">
      <c r="H857"/>
      <c r="I857" s="161" t="str">
        <f>I351</f>
        <v>Pompe circolazione caldo</v>
      </c>
      <c r="R857" s="1517">
        <v>1</v>
      </c>
      <c r="S857" s="1517"/>
      <c r="T857" s="1517">
        <v>0.4</v>
      </c>
      <c r="U857" s="1517"/>
      <c r="V857" s="1517">
        <v>0</v>
      </c>
      <c r="W857" s="1517"/>
      <c r="X857" s="1517">
        <v>0</v>
      </c>
      <c r="Y857" s="1517"/>
      <c r="Z857" s="1517">
        <v>0</v>
      </c>
      <c r="AA857" s="1517"/>
      <c r="AE857" s="1347">
        <f>IF($AE$738=AE856,R857,0)</f>
        <v>0</v>
      </c>
      <c r="AF857" s="1347"/>
      <c r="AG857" s="1347">
        <f t="shared" ref="AG857" si="213">IF($AE$738=AG856,T857,0)</f>
        <v>0</v>
      </c>
      <c r="AH857" s="1347"/>
      <c r="AI857" s="1347">
        <f t="shared" ref="AI857" si="214">IF($AE$738=AI856,V857,0)</f>
        <v>0</v>
      </c>
      <c r="AJ857" s="1347"/>
      <c r="AK857" s="1347">
        <f t="shared" ref="AK857" si="215">IF($AE$738=AK856,X857,0)</f>
        <v>0</v>
      </c>
      <c r="AL857" s="1347"/>
      <c r="AM857" s="1347">
        <f t="shared" ref="AM857" si="216">IF($AE$738=AM856,Z857,0)</f>
        <v>0</v>
      </c>
      <c r="AN857" s="1347"/>
      <c r="AV857" s="1268">
        <f>IF($AV$738=AV856,R857,0)</f>
        <v>0</v>
      </c>
      <c r="AW857" s="1268"/>
      <c r="AX857" s="1268">
        <f t="shared" ref="AX857" si="217">IF($AV$738=AX856,T857,0)</f>
        <v>0</v>
      </c>
      <c r="AY857" s="1268"/>
      <c r="AZ857" s="1268">
        <f t="shared" ref="AZ857" si="218">IF($AV$738=AZ856,V857,0)</f>
        <v>0</v>
      </c>
      <c r="BA857" s="1268"/>
      <c r="BB857" s="1268">
        <f>IF($AV$738=BB856,X857,0)</f>
        <v>0</v>
      </c>
      <c r="BC857" s="1268"/>
      <c r="BD857" s="1268">
        <f t="shared" ref="BD857" si="219">IF($AV$738=BD856,Z857,0)</f>
        <v>0</v>
      </c>
      <c r="BE857" s="1268"/>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Pompe circolazione caldo</v>
      </c>
      <c r="J859" s="283"/>
      <c r="K859" s="283"/>
      <c r="L859" s="283"/>
      <c r="M859" s="283"/>
      <c r="N859" s="283"/>
      <c r="O859" s="283"/>
      <c r="P859" s="283"/>
      <c r="Q859" s="283"/>
      <c r="U859"/>
      <c r="AO859" s="1346">
        <f>AO856</f>
        <v>0</v>
      </c>
      <c r="AP859" s="1346"/>
      <c r="BF859" s="1346">
        <f>AZ367</f>
        <v>0</v>
      </c>
      <c r="BG859" s="1346"/>
      <c r="BQ859" s="201"/>
    </row>
    <row r="860" spans="8:72" hidden="1" outlineLevel="1" x14ac:dyDescent="0.15">
      <c r="H860"/>
      <c r="I860" s="750" t="str">
        <f>I352</f>
        <v>Pompe nebulizzazione</v>
      </c>
      <c r="J860" s="475"/>
      <c r="K860" s="475"/>
      <c r="L860" s="475"/>
      <c r="M860" s="475"/>
      <c r="N860" s="475"/>
      <c r="O860" s="475"/>
      <c r="P860" s="475"/>
      <c r="Q860" s="475"/>
      <c r="V860" s="27"/>
      <c r="W860" s="27"/>
      <c r="Z860" s="1353">
        <v>0.5</v>
      </c>
      <c r="AA860" s="1353"/>
      <c r="BQ860" s="201"/>
    </row>
    <row r="861" spans="8:72" hidden="1" outlineLevel="1" x14ac:dyDescent="0.15">
      <c r="I861" s="750" t="str">
        <f>I353</f>
        <v>Ventilatori raffreddato /condensatore</v>
      </c>
      <c r="J861" s="475"/>
      <c r="K861" s="475"/>
      <c r="L861" s="475"/>
      <c r="M861" s="475"/>
      <c r="N861" s="475"/>
      <c r="O861" s="475"/>
      <c r="P861" s="475"/>
      <c r="Q861" s="475"/>
      <c r="V861" s="27"/>
      <c r="W861" s="27"/>
      <c r="Z861" s="1353">
        <v>1</v>
      </c>
      <c r="AA861" s="1353"/>
      <c r="BQ861" s="201"/>
    </row>
    <row r="862" spans="8:72" hidden="1" outlineLevel="1" x14ac:dyDescent="0.15">
      <c r="I862" s="750" t="str">
        <f>I354</f>
        <v/>
      </c>
      <c r="J862" s="475"/>
      <c r="K862" s="475"/>
      <c r="L862" s="475"/>
      <c r="M862" s="475"/>
      <c r="N862" s="475"/>
      <c r="O862" s="475"/>
      <c r="P862" s="475"/>
      <c r="Q862" s="475"/>
      <c r="U862"/>
      <c r="Z862" s="1353">
        <v>1</v>
      </c>
      <c r="AA862" s="1353"/>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300">
        <f>AM342</f>
        <v>0</v>
      </c>
      <c r="Y873" s="1300"/>
      <c r="Z873" s="1300"/>
      <c r="AA873" s="1300"/>
      <c r="AB873" s="1300"/>
      <c r="AC873" s="1300"/>
      <c r="AE873" s="1300">
        <f>AM423</f>
        <v>0</v>
      </c>
      <c r="AF873" s="1300"/>
      <c r="AG873" s="1300"/>
      <c r="AH873" s="1300"/>
      <c r="AI873" s="1300"/>
      <c r="AJ873" s="1300"/>
      <c r="AV873" s="1300">
        <f>BK342</f>
        <v>0</v>
      </c>
      <c r="AW873" s="1300"/>
      <c r="AX873" s="1300"/>
      <c r="AY873" s="1300"/>
      <c r="AZ873" s="1300"/>
      <c r="BA873" s="1300"/>
      <c r="BC873" s="1300">
        <f>BK423</f>
        <v>0</v>
      </c>
      <c r="BD873" s="1300"/>
      <c r="BE873" s="1300"/>
      <c r="BF873" s="1300"/>
      <c r="BG873" s="1300"/>
      <c r="BH873" s="1300"/>
      <c r="BQ873" s="201"/>
    </row>
    <row r="874" spans="5:124" hidden="1" outlineLevel="1" x14ac:dyDescent="0.15">
      <c r="I874" t="s">
        <v>795</v>
      </c>
      <c r="X874" s="1356">
        <f>AL850</f>
        <v>0</v>
      </c>
      <c r="Y874" s="1301"/>
      <c r="Z874" s="1301"/>
      <c r="AA874" s="1301"/>
      <c r="AB874" s="1301"/>
      <c r="AC874" s="1301"/>
      <c r="AE874" s="1356">
        <f>AL850</f>
        <v>0</v>
      </c>
      <c r="AF874" s="1301"/>
      <c r="AG874" s="1301"/>
      <c r="AH874" s="1301"/>
      <c r="AI874" s="1301"/>
      <c r="AJ874" s="1301"/>
      <c r="AV874" s="1356">
        <f>BC850</f>
        <v>0</v>
      </c>
      <c r="AW874" s="1301"/>
      <c r="AX874" s="1301"/>
      <c r="AY874" s="1301"/>
      <c r="AZ874" s="1301"/>
      <c r="BA874" s="1301"/>
      <c r="BC874" s="1356">
        <f>BC850</f>
        <v>0</v>
      </c>
      <c r="BD874" s="1301"/>
      <c r="BE874" s="1301"/>
      <c r="BF874" s="1301"/>
      <c r="BG874" s="1301"/>
      <c r="BH874" s="1301"/>
      <c r="BQ874" s="201"/>
    </row>
    <row r="875" spans="5:124" hidden="1" outlineLevel="1" x14ac:dyDescent="0.15">
      <c r="I875" t="s">
        <v>863</v>
      </c>
      <c r="X875" s="1356">
        <f>IF(AM875="Ja",1,0)</f>
        <v>0</v>
      </c>
      <c r="Y875" s="1356"/>
      <c r="Z875" s="1356"/>
      <c r="AA875" s="1356"/>
      <c r="AB875" s="1356"/>
      <c r="AC875" s="1356"/>
      <c r="AE875" s="1356">
        <f>IF(AM875="Ja",1,0)</f>
        <v>0</v>
      </c>
      <c r="AF875" s="1356"/>
      <c r="AG875" s="1356"/>
      <c r="AH875" s="1356"/>
      <c r="AI875" s="1356"/>
      <c r="AJ875" s="1356"/>
      <c r="AM875" s="1355" t="str">
        <f>IF(X230=BA495,"Ja","Nein")</f>
        <v>Nein</v>
      </c>
      <c r="AN875" s="1355"/>
      <c r="AO875" s="1355"/>
      <c r="AP875" s="1355"/>
      <c r="AV875" s="1356">
        <f>IF(BK875="Ja",1,0)</f>
        <v>0</v>
      </c>
      <c r="AW875" s="1356"/>
      <c r="AX875" s="1356"/>
      <c r="AY875" s="1356"/>
      <c r="AZ875" s="1356"/>
      <c r="BA875" s="1356"/>
      <c r="BC875" s="1356">
        <f>IF(BK875="Ja",1,0)</f>
        <v>0</v>
      </c>
      <c r="BD875" s="1356"/>
      <c r="BE875" s="1356"/>
      <c r="BF875" s="1356"/>
      <c r="BG875" s="1356"/>
      <c r="BH875" s="1356"/>
      <c r="BK875" s="1355" t="str">
        <f>IF(AV230=BA495,"Ja","Nein")</f>
        <v>Nein</v>
      </c>
      <c r="BL875" s="1355"/>
      <c r="BM875" s="1355"/>
      <c r="BN875" s="1355"/>
      <c r="BQ875" s="201"/>
    </row>
    <row r="876" spans="5:124" hidden="1" outlineLevel="1" x14ac:dyDescent="0.15">
      <c r="I876" t="s">
        <v>864</v>
      </c>
      <c r="X876" s="1300">
        <f>X873*X874*X875</f>
        <v>0</v>
      </c>
      <c r="Y876" s="1300"/>
      <c r="Z876" s="1300"/>
      <c r="AA876" s="1300"/>
      <c r="AB876" s="1300"/>
      <c r="AC876" s="1300"/>
      <c r="AE876" s="1300">
        <f>AE873*AE874*AE875</f>
        <v>0</v>
      </c>
      <c r="AF876" s="1300"/>
      <c r="AG876" s="1300"/>
      <c r="AH876" s="1300"/>
      <c r="AI876" s="1300"/>
      <c r="AJ876" s="1300"/>
      <c r="AV876" s="1300">
        <f>AV873*AV874*AV875</f>
        <v>0</v>
      </c>
      <c r="AW876" s="1300"/>
      <c r="AX876" s="1300"/>
      <c r="AY876" s="1300"/>
      <c r="AZ876" s="1300"/>
      <c r="BA876" s="1300"/>
      <c r="BC876" s="1300">
        <f>BC873*BC874*BC875</f>
        <v>0</v>
      </c>
      <c r="BD876" s="1300"/>
      <c r="BE876" s="1300"/>
      <c r="BF876" s="1300"/>
      <c r="BG876" s="1300"/>
      <c r="BH876" s="1300"/>
      <c r="BQ876" s="201"/>
    </row>
    <row r="877" spans="5:124" hidden="1" outlineLevel="1" x14ac:dyDescent="0.15">
      <c r="J877" t="s">
        <v>214</v>
      </c>
      <c r="X877" s="1300">
        <f>IF(LEN(X876)&lt;3,0,IF(LEN(X876)=3,-1,IF(LEN(X876)=4,-2,-3)))</f>
        <v>0</v>
      </c>
      <c r="Y877" s="1300"/>
      <c r="Z877" s="1300"/>
      <c r="AA877" s="1300"/>
      <c r="AB877" s="1300"/>
      <c r="AC877" s="1300"/>
      <c r="AE877" s="1300">
        <f>IF(LEN(AE876)&lt;3,0,IF(LEN(AE876)=3,-1,IF(LEN(AE876)=4,-2,-3)))</f>
        <v>0</v>
      </c>
      <c r="AF877" s="1300"/>
      <c r="AG877" s="1300"/>
      <c r="AH877" s="1300"/>
      <c r="AI877" s="1300"/>
      <c r="AJ877" s="1300"/>
      <c r="AV877" s="1300">
        <f>IF(LEN(AV876)&lt;3,0,IF(LEN(AV876)=3,-1,IF(LEN(AV876)=4,-2,-3)))</f>
        <v>0</v>
      </c>
      <c r="AW877" s="1300"/>
      <c r="AX877" s="1300"/>
      <c r="AY877" s="1300"/>
      <c r="AZ877" s="1300"/>
      <c r="BA877" s="1300"/>
      <c r="BC877" s="1300">
        <f>IF(LEN(BC876)&lt;3,0,IF(LEN(BC876)=3,-1,IF(LEN(BC876)=4,-2,-3)))</f>
        <v>0</v>
      </c>
      <c r="BD877" s="1300"/>
      <c r="BE877" s="1300"/>
      <c r="BF877" s="1300"/>
      <c r="BG877" s="1300"/>
      <c r="BH877" s="1300"/>
      <c r="BQ877" s="201"/>
    </row>
    <row r="878" spans="5:124" hidden="1" outlineLevel="1" x14ac:dyDescent="0.15">
      <c r="I878" t="s">
        <v>864</v>
      </c>
      <c r="X878" s="1300">
        <f>ROUND(X876,X877)</f>
        <v>0</v>
      </c>
      <c r="Y878" s="1300"/>
      <c r="Z878" s="1300"/>
      <c r="AA878" s="1300"/>
      <c r="AB878" s="1300"/>
      <c r="AC878" s="1300"/>
      <c r="AE878" s="1300">
        <f>ROUND(AE876,AE877)</f>
        <v>0</v>
      </c>
      <c r="AF878" s="1300"/>
      <c r="AG878" s="1300"/>
      <c r="AH878" s="1300"/>
      <c r="AI878" s="1300"/>
      <c r="AJ878" s="1300"/>
      <c r="AV878" s="1300">
        <f>ROUND(AV876,AV877)</f>
        <v>0</v>
      </c>
      <c r="AW878" s="1300"/>
      <c r="AX878" s="1300"/>
      <c r="AY878" s="1300"/>
      <c r="AZ878" s="1300"/>
      <c r="BA878" s="1300"/>
      <c r="BC878" s="1300">
        <f>ROUND(BC876,BC877)</f>
        <v>0</v>
      </c>
      <c r="BD878" s="1300"/>
      <c r="BE878" s="1300"/>
      <c r="BF878" s="1300"/>
      <c r="BG878" s="1300"/>
      <c r="BH878" s="1300"/>
      <c r="BQ878" s="201"/>
    </row>
    <row r="879" spans="5:124" hidden="1" outlineLevel="1" x14ac:dyDescent="0.15">
      <c r="X879" s="1300"/>
      <c r="Y879" s="1300"/>
      <c r="Z879" s="1300"/>
      <c r="AA879" s="1300"/>
      <c r="AB879" s="1300"/>
      <c r="AC879" s="1300"/>
      <c r="AE879" s="1300"/>
      <c r="AF879" s="1300"/>
      <c r="AG879" s="1300"/>
      <c r="AH879" s="1300"/>
      <c r="AI879" s="1300"/>
      <c r="AJ879" s="1300"/>
      <c r="AV879" s="1300"/>
      <c r="AW879" s="1300"/>
      <c r="AX879" s="1300"/>
      <c r="AY879" s="1300"/>
      <c r="AZ879" s="1300"/>
      <c r="BA879" s="1300"/>
      <c r="BC879" s="1300"/>
      <c r="BD879" s="1300"/>
      <c r="BE879" s="1300"/>
      <c r="BF879" s="1300"/>
      <c r="BG879" s="1300"/>
      <c r="BH879" s="1300"/>
      <c r="BQ879" s="201"/>
    </row>
    <row r="880" spans="5:124" hidden="1" outlineLevel="1" x14ac:dyDescent="0.15">
      <c r="BQ880" s="201"/>
    </row>
    <row r="881" spans="5:124" hidden="1" outlineLevel="1" x14ac:dyDescent="0.15">
      <c r="I881" t="s">
        <v>796</v>
      </c>
      <c r="X881" s="1300">
        <f>AM329</f>
        <v>0</v>
      </c>
      <c r="Y881" s="1300"/>
      <c r="Z881" s="1300"/>
      <c r="AA881" s="1300"/>
      <c r="AB881" s="1300"/>
      <c r="AC881" s="1300"/>
      <c r="AE881" s="1300">
        <f>AM409</f>
        <v>0</v>
      </c>
      <c r="AF881" s="1300"/>
      <c r="AG881" s="1300"/>
      <c r="AH881" s="1300"/>
      <c r="AI881" s="1300"/>
      <c r="AJ881" s="1300"/>
      <c r="AV881" s="1300">
        <f>BK329</f>
        <v>0</v>
      </c>
      <c r="AW881" s="1300"/>
      <c r="AX881" s="1300"/>
      <c r="AY881" s="1300"/>
      <c r="AZ881" s="1300"/>
      <c r="BA881" s="1300"/>
      <c r="BC881" s="1300">
        <f>BK409</f>
        <v>0</v>
      </c>
      <c r="BD881" s="1300"/>
      <c r="BE881" s="1300"/>
      <c r="BF881" s="1300"/>
      <c r="BG881" s="1300"/>
      <c r="BH881" s="1300"/>
      <c r="BQ881" s="201"/>
    </row>
    <row r="882" spans="5:124" hidden="1" outlineLevel="1" x14ac:dyDescent="0.15">
      <c r="I882" t="s">
        <v>866</v>
      </c>
      <c r="X882" s="1300">
        <f>X881*X874*X875</f>
        <v>0</v>
      </c>
      <c r="Y882" s="1300"/>
      <c r="Z882" s="1300"/>
      <c r="AA882" s="1300"/>
      <c r="AB882" s="1300"/>
      <c r="AC882" s="1300"/>
      <c r="AE882" s="1300">
        <f>AE881*AE874*AE875</f>
        <v>0</v>
      </c>
      <c r="AF882" s="1300"/>
      <c r="AG882" s="1300"/>
      <c r="AH882" s="1300"/>
      <c r="AI882" s="1300"/>
      <c r="AJ882" s="1300"/>
      <c r="AV882" s="1300">
        <f>AV881*AV874*AV875</f>
        <v>0</v>
      </c>
      <c r="AW882" s="1300"/>
      <c r="AX882" s="1300"/>
      <c r="AY882" s="1300"/>
      <c r="AZ882" s="1300"/>
      <c r="BA882" s="1300"/>
      <c r="BC882" s="1300">
        <f>BC881*BC874*BC875</f>
        <v>0</v>
      </c>
      <c r="BD882" s="1300"/>
      <c r="BE882" s="1300"/>
      <c r="BF882" s="1300"/>
      <c r="BG882" s="1300"/>
      <c r="BH882" s="1300"/>
      <c r="BQ882" s="201"/>
    </row>
    <row r="883" spans="5:124" hidden="1" outlineLevel="1" x14ac:dyDescent="0.15">
      <c r="J883" t="s">
        <v>214</v>
      </c>
      <c r="X883" s="1300">
        <f>IF(LEN(X882)&lt;3,0,IF(LEN(X882)=3,-1,IF(LEN(X882)=4,-2,-3)))</f>
        <v>0</v>
      </c>
      <c r="Y883" s="1300"/>
      <c r="Z883" s="1300"/>
      <c r="AA883" s="1300"/>
      <c r="AB883" s="1300"/>
      <c r="AC883" s="1300"/>
      <c r="AE883" s="1300">
        <f>IF(LEN(AE882)&lt;3,0,IF(LEN(AE882)=3,-1,IF(LEN(AE882)=4,-2,-3)))</f>
        <v>0</v>
      </c>
      <c r="AF883" s="1300"/>
      <c r="AG883" s="1300"/>
      <c r="AH883" s="1300"/>
      <c r="AI883" s="1300"/>
      <c r="AJ883" s="1300"/>
      <c r="AV883" s="1300">
        <f>IF(LEN(AV882)&lt;3,0,IF(LEN(AV882)=3,-1,IF(LEN(AV882)=4,-2,-3)))</f>
        <v>0</v>
      </c>
      <c r="AW883" s="1300"/>
      <c r="AX883" s="1300"/>
      <c r="AY883" s="1300"/>
      <c r="AZ883" s="1300"/>
      <c r="BA883" s="1300"/>
      <c r="BC883" s="1300">
        <f>IF(LEN(BC882)&lt;3,0,IF(LEN(BC882)=3,-1,IF(LEN(BC882)=4,-2,-3)))</f>
        <v>0</v>
      </c>
      <c r="BD883" s="1300"/>
      <c r="BE883" s="1300"/>
      <c r="BF883" s="1300"/>
      <c r="BG883" s="1300"/>
      <c r="BH883" s="1300"/>
      <c r="BQ883" s="201"/>
    </row>
    <row r="884" spans="5:124" hidden="1" outlineLevel="1" x14ac:dyDescent="0.15">
      <c r="I884" t="s">
        <v>866</v>
      </c>
      <c r="X884" s="1300">
        <f>ROUND(X882,X883)</f>
        <v>0</v>
      </c>
      <c r="Y884" s="1300"/>
      <c r="Z884" s="1300"/>
      <c r="AA884" s="1300"/>
      <c r="AB884" s="1300"/>
      <c r="AC884" s="1300"/>
      <c r="AE884" s="1300">
        <f>ROUND(AE882,AE883)</f>
        <v>0</v>
      </c>
      <c r="AF884" s="1300"/>
      <c r="AG884" s="1300"/>
      <c r="AH884" s="1300"/>
      <c r="AI884" s="1300"/>
      <c r="AJ884" s="1300"/>
      <c r="AV884" s="1300">
        <f>ROUND(AV882,AV883)</f>
        <v>0</v>
      </c>
      <c r="AW884" s="1300"/>
      <c r="AX884" s="1300"/>
      <c r="AY884" s="1300"/>
      <c r="AZ884" s="1300"/>
      <c r="BA884" s="1300"/>
      <c r="BC884" s="1300">
        <f>ROUND(BC882,BC883)</f>
        <v>0</v>
      </c>
      <c r="BD884" s="1300"/>
      <c r="BE884" s="1300"/>
      <c r="BF884" s="1300"/>
      <c r="BG884" s="1300"/>
      <c r="BH884" s="1300"/>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301" t="str">
        <f>W203</f>
        <v>Primavera</v>
      </c>
      <c r="X892" s="1301"/>
      <c r="Y892" s="1301"/>
      <c r="Z892" s="1301"/>
      <c r="AA892" s="1301" t="str">
        <f>AA203</f>
        <v>Estate</v>
      </c>
      <c r="AB892" s="1301"/>
      <c r="AC892" s="1301"/>
      <c r="AD892" s="1301"/>
      <c r="AE892" s="1301" t="str">
        <f>AE203</f>
        <v>Autunno</v>
      </c>
      <c r="AF892" s="1301"/>
      <c r="AG892" s="1301"/>
      <c r="AH892" s="1301"/>
      <c r="AI892" s="1301" t="str">
        <f>AI203</f>
        <v>Inverno</v>
      </c>
      <c r="AJ892" s="1301"/>
      <c r="AK892" s="1301"/>
      <c r="AL892" s="1301"/>
      <c r="AN892" s="1301"/>
      <c r="AO892" s="1301"/>
      <c r="AP892" s="1301"/>
      <c r="AU892" s="1301" t="str">
        <f>AU203</f>
        <v>Primavera</v>
      </c>
      <c r="AV892" s="1301"/>
      <c r="AW892" s="1301"/>
      <c r="AX892" s="1301"/>
      <c r="AY892" s="1301" t="str">
        <f>AY203</f>
        <v>Estate</v>
      </c>
      <c r="AZ892" s="1301"/>
      <c r="BA892" s="1301"/>
      <c r="BB892" s="1301"/>
      <c r="BC892" s="1301" t="str">
        <f>BC203</f>
        <v>Autunno</v>
      </c>
      <c r="BD892" s="1301"/>
      <c r="BE892" s="1301"/>
      <c r="BF892" s="1301"/>
      <c r="BG892" s="1301" t="str">
        <f>BG203</f>
        <v>Inverno</v>
      </c>
      <c r="BH892" s="1301"/>
      <c r="BI892" s="1301"/>
      <c r="BJ892" s="1301"/>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3">
        <f>X205</f>
        <v>0</v>
      </c>
      <c r="Y893" s="1323"/>
      <c r="Z893" s="1323"/>
      <c r="AA893" s="497"/>
      <c r="AB893" s="1323">
        <f>AB205</f>
        <v>0</v>
      </c>
      <c r="AC893" s="1323"/>
      <c r="AD893" s="1323"/>
      <c r="AE893" s="497"/>
      <c r="AF893" s="1323">
        <f>AF205</f>
        <v>0</v>
      </c>
      <c r="AG893" s="1323"/>
      <c r="AH893" s="1323"/>
      <c r="AI893" s="497"/>
      <c r="AJ893" s="1323">
        <f>AJ205</f>
        <v>0</v>
      </c>
      <c r="AK893" s="1323"/>
      <c r="AL893" s="1323"/>
      <c r="AM893" s="497"/>
      <c r="AN893" s="1303"/>
      <c r="AO893" s="1303"/>
      <c r="AP893" s="1303"/>
      <c r="AQ893" s="70"/>
      <c r="AR893" s="70"/>
      <c r="AV893" s="1323">
        <f>AV205</f>
        <v>0</v>
      </c>
      <c r="AW893" s="1323"/>
      <c r="AX893" s="1323"/>
      <c r="AY893" s="497"/>
      <c r="AZ893" s="1323">
        <f>AZ205</f>
        <v>0</v>
      </c>
      <c r="BA893" s="1323"/>
      <c r="BB893" s="1323"/>
      <c r="BC893" s="497"/>
      <c r="BD893" s="1323">
        <f>BD205</f>
        <v>0</v>
      </c>
      <c r="BE893" s="1323"/>
      <c r="BF893" s="1323"/>
      <c r="BG893" s="497"/>
      <c r="BH893" s="1323">
        <f>BH205</f>
        <v>0</v>
      </c>
      <c r="BI893" s="1323"/>
      <c r="BJ893" s="1323"/>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3">
        <f>IF(AN217&lt;20,0,AN217-10)</f>
        <v>0</v>
      </c>
      <c r="Y894" s="1323"/>
      <c r="Z894" s="1323"/>
      <c r="AA894" s="497"/>
      <c r="AB894" s="1323">
        <f>X894</f>
        <v>0</v>
      </c>
      <c r="AC894" s="1323"/>
      <c r="AD894" s="1323"/>
      <c r="AE894" s="497"/>
      <c r="AF894" s="1323">
        <f>AB894</f>
        <v>0</v>
      </c>
      <c r="AG894" s="1323"/>
      <c r="AH894" s="1323"/>
      <c r="AI894" s="497"/>
      <c r="AJ894" s="1323">
        <f>AF894</f>
        <v>0</v>
      </c>
      <c r="AK894" s="1323"/>
      <c r="AL894" s="1323"/>
      <c r="AM894" s="497"/>
      <c r="AN894" s="1303"/>
      <c r="AO894" s="1303"/>
      <c r="AP894" s="1303"/>
      <c r="AQ894" s="70"/>
      <c r="AR894" s="70"/>
      <c r="AV894" s="1323">
        <f>IF(BL217&lt;20,0,BL217-10)</f>
        <v>0</v>
      </c>
      <c r="AW894" s="1323"/>
      <c r="AX894" s="1323"/>
      <c r="AY894" s="497"/>
      <c r="AZ894" s="1323">
        <f>AV894</f>
        <v>0</v>
      </c>
      <c r="BA894" s="1323"/>
      <c r="BB894" s="1323"/>
      <c r="BC894" s="497"/>
      <c r="BD894" s="1323">
        <f>AZ894</f>
        <v>0</v>
      </c>
      <c r="BE894" s="1323"/>
      <c r="BF894" s="1323"/>
      <c r="BG894" s="497"/>
      <c r="BH894" s="1323">
        <f>BD894</f>
        <v>0</v>
      </c>
      <c r="BI894" s="1323"/>
      <c r="BJ894" s="1323"/>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51">
        <v>1.163</v>
      </c>
      <c r="Y895" s="1351"/>
      <c r="Z895" s="1351"/>
      <c r="AA895" s="497"/>
      <c r="AB895" s="1351">
        <v>1.163</v>
      </c>
      <c r="AC895" s="1351"/>
      <c r="AD895" s="1351"/>
      <c r="AE895" s="497"/>
      <c r="AF895" s="1351">
        <v>1.163</v>
      </c>
      <c r="AG895" s="1351"/>
      <c r="AH895" s="1351"/>
      <c r="AI895" s="497"/>
      <c r="AJ895" s="1351">
        <v>1.163</v>
      </c>
      <c r="AK895" s="1351"/>
      <c r="AL895" s="1351"/>
      <c r="AM895" s="497"/>
      <c r="AN895" s="1303"/>
      <c r="AO895" s="1303"/>
      <c r="AP895" s="1303"/>
      <c r="AQ895" s="70"/>
      <c r="AR895" s="70"/>
      <c r="AV895" s="1351">
        <v>1.163</v>
      </c>
      <c r="AW895" s="1351"/>
      <c r="AX895" s="1351"/>
      <c r="AY895" s="497"/>
      <c r="AZ895" s="1351">
        <v>1.163</v>
      </c>
      <c r="BA895" s="1351"/>
      <c r="BB895" s="1351"/>
      <c r="BC895" s="497"/>
      <c r="BD895" s="1351">
        <v>1.163</v>
      </c>
      <c r="BE895" s="1351"/>
      <c r="BF895" s="1351"/>
      <c r="BG895" s="497"/>
      <c r="BH895" s="1351">
        <v>1.163</v>
      </c>
      <c r="BI895" s="1351"/>
      <c r="BJ895" s="1351"/>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48">
        <f>X893/1000*X894*X895</f>
        <v>0</v>
      </c>
      <c r="Y896" s="1348"/>
      <c r="Z896" s="1348"/>
      <c r="AA896" s="497"/>
      <c r="AB896" s="1348">
        <f>AB893/1000*AB894*AB895</f>
        <v>0</v>
      </c>
      <c r="AC896" s="1348"/>
      <c r="AD896" s="1348"/>
      <c r="AE896" s="497"/>
      <c r="AF896" s="1348">
        <f>AF893/1000*AF894*AF895</f>
        <v>0</v>
      </c>
      <c r="AG896" s="1348"/>
      <c r="AH896" s="1348"/>
      <c r="AI896" s="497"/>
      <c r="AJ896" s="1348">
        <f>AJ893/1000*AJ894*AJ895</f>
        <v>0</v>
      </c>
      <c r="AK896" s="1348"/>
      <c r="AL896" s="1348"/>
      <c r="AM896" s="497"/>
      <c r="AN896" s="1303"/>
      <c r="AO896" s="1303"/>
      <c r="AP896" s="1303"/>
      <c r="AQ896" s="70"/>
      <c r="AR896" s="70"/>
      <c r="AV896" s="1348">
        <f>AV893/1000*AV894*AV895</f>
        <v>0</v>
      </c>
      <c r="AW896" s="1348"/>
      <c r="AX896" s="1348"/>
      <c r="AY896" s="497"/>
      <c r="AZ896" s="1348">
        <f>AZ893/1000*AZ894*AZ895</f>
        <v>0</v>
      </c>
      <c r="BA896" s="1348"/>
      <c r="BB896" s="1348"/>
      <c r="BC896" s="497"/>
      <c r="BD896" s="1348">
        <f>BD893/1000*BD894*BD895</f>
        <v>0</v>
      </c>
      <c r="BE896" s="1348"/>
      <c r="BF896" s="1348"/>
      <c r="BG896" s="497"/>
      <c r="BH896" s="1348">
        <f>BH893/1000*BH894*BH895</f>
        <v>0</v>
      </c>
      <c r="BI896" s="1348"/>
      <c r="BJ896" s="1348"/>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3">
        <f>X896*365/4</f>
        <v>0</v>
      </c>
      <c r="Y897" s="1323"/>
      <c r="Z897" s="1323"/>
      <c r="AA897" s="497"/>
      <c r="AB897" s="1323">
        <f>AB896*365/4</f>
        <v>0</v>
      </c>
      <c r="AC897" s="1323"/>
      <c r="AD897" s="1323"/>
      <c r="AE897" s="497"/>
      <c r="AF897" s="1323">
        <f>AF896*365/4</f>
        <v>0</v>
      </c>
      <c r="AG897" s="1323"/>
      <c r="AH897" s="1323"/>
      <c r="AI897" s="497"/>
      <c r="AJ897" s="1323">
        <f>AJ896*365/4</f>
        <v>0</v>
      </c>
      <c r="AK897" s="1323"/>
      <c r="AL897" s="1323"/>
      <c r="AM897" s="497"/>
      <c r="AN897" s="1303"/>
      <c r="AO897" s="1303"/>
      <c r="AP897" s="1303"/>
      <c r="AQ897" s="70"/>
      <c r="AR897" s="70"/>
      <c r="AV897" s="1323">
        <f>AV896*365/4</f>
        <v>0</v>
      </c>
      <c r="AW897" s="1323"/>
      <c r="AX897" s="1323"/>
      <c r="AY897" s="497"/>
      <c r="AZ897" s="1323">
        <f>AZ896*365/4</f>
        <v>0</v>
      </c>
      <c r="BA897" s="1323"/>
      <c r="BB897" s="1323"/>
      <c r="BC897" s="497"/>
      <c r="BD897" s="1323">
        <f>BD896*365/4</f>
        <v>0</v>
      </c>
      <c r="BE897" s="1323"/>
      <c r="BF897" s="1323"/>
      <c r="BG897" s="497"/>
      <c r="BH897" s="1323">
        <f>BH896*365/4</f>
        <v>0</v>
      </c>
      <c r="BI897" s="1323"/>
      <c r="BJ897" s="1323"/>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8">
        <f>IF(X897&gt;100000,-4,IF(X897&gt;10000,-3,IF(X897&gt;1000,-2,$V898)))</f>
        <v>-1</v>
      </c>
      <c r="Y898" s="1318"/>
      <c r="Z898" s="1318"/>
      <c r="AA898" s="540"/>
      <c r="AB898" s="1318">
        <f>IF(AB897&gt;100000,-4,IF(AB897&gt;10000,-3,IF(AB897&gt;1000,-2,$V898)))</f>
        <v>-1</v>
      </c>
      <c r="AC898" s="1318"/>
      <c r="AD898" s="1318"/>
      <c r="AE898" s="540"/>
      <c r="AF898" s="1318">
        <f>IF(AF897&gt;100000,-4,IF(AF897&gt;10000,-3,IF(AF897&gt;1000,-2,$V898)))</f>
        <v>-1</v>
      </c>
      <c r="AG898" s="1318"/>
      <c r="AH898" s="1318"/>
      <c r="AI898" s="540"/>
      <c r="AJ898" s="1318">
        <f>IF(AJ897&gt;100000,-4,IF(AJ897&gt;10000,-3,IF(AJ897&gt;1000,-2,$V898)))</f>
        <v>-1</v>
      </c>
      <c r="AK898" s="1318"/>
      <c r="AL898" s="1318"/>
      <c r="AN898" s="1317"/>
      <c r="AO898" s="1318"/>
      <c r="AP898" s="1318"/>
      <c r="AQ898" s="536"/>
      <c r="AR898" s="536"/>
      <c r="AU898" s="540"/>
      <c r="AV898" s="1318">
        <f>IF(AV897&gt;100000,-4,IF(AV897&gt;10000,-3,IF(AV897&gt;1000,-2,$V898)))</f>
        <v>-1</v>
      </c>
      <c r="AW898" s="1318"/>
      <c r="AX898" s="1318"/>
      <c r="AY898" s="540"/>
      <c r="AZ898" s="1318">
        <f>IF(AZ897&gt;100000,-4,IF(AZ897&gt;10000,-3,IF(AZ897&gt;1000,-2,$V898)))</f>
        <v>-1</v>
      </c>
      <c r="BA898" s="1318"/>
      <c r="BB898" s="1318"/>
      <c r="BC898" s="540"/>
      <c r="BD898" s="1318">
        <f>IF(BD897&gt;100000,-4,IF(BD897&gt;10000,-3,IF(BD897&gt;1000,-2,$V898)))</f>
        <v>-1</v>
      </c>
      <c r="BE898" s="1318"/>
      <c r="BF898" s="1318"/>
      <c r="BG898" s="540"/>
      <c r="BH898" s="1318">
        <f>IF(BH897&gt;100000,-4,IF(BH897&gt;10000,-3,IF(BH897&gt;1000,-2,$V898)))</f>
        <v>-1</v>
      </c>
      <c r="BI898" s="1318"/>
      <c r="BJ898" s="1318"/>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3">
        <f>ROUND(X897,X898)</f>
        <v>0</v>
      </c>
      <c r="Y899" s="1323"/>
      <c r="Z899" s="1323"/>
      <c r="AA899" s="497"/>
      <c r="AB899" s="1323">
        <f>ROUND(AB897,AB898)</f>
        <v>0</v>
      </c>
      <c r="AC899" s="1323"/>
      <c r="AD899" s="1323"/>
      <c r="AE899" s="497"/>
      <c r="AF899" s="1323">
        <f>ROUND(AF897,AF898)</f>
        <v>0</v>
      </c>
      <c r="AG899" s="1323"/>
      <c r="AH899" s="1323"/>
      <c r="AI899" s="497"/>
      <c r="AJ899" s="1323">
        <f>ROUND(AJ897,AJ898)</f>
        <v>0</v>
      </c>
      <c r="AK899" s="1323"/>
      <c r="AL899" s="1323"/>
      <c r="AM899" s="497"/>
      <c r="AN899" s="1303"/>
      <c r="AO899" s="1303"/>
      <c r="AP899" s="1303"/>
      <c r="AQ899" s="70"/>
      <c r="AR899" s="70"/>
      <c r="AV899" s="1323">
        <f>ROUND(AV897,AV898)</f>
        <v>0</v>
      </c>
      <c r="AW899" s="1323"/>
      <c r="AX899" s="1323"/>
      <c r="AY899" s="497"/>
      <c r="AZ899" s="1323">
        <f>ROUND(AZ897,AZ898)</f>
        <v>0</v>
      </c>
      <c r="BA899" s="1323"/>
      <c r="BB899" s="1323"/>
      <c r="BC899" s="497"/>
      <c r="BD899" s="1323">
        <f>ROUND(BD897,BD898)</f>
        <v>0</v>
      </c>
      <c r="BE899" s="1323"/>
      <c r="BF899" s="1323"/>
      <c r="BG899" s="497"/>
      <c r="BH899" s="1323">
        <f>ROUND(BH897,BH898)</f>
        <v>0</v>
      </c>
      <c r="BI899" s="1323"/>
      <c r="BJ899" s="1323"/>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3">
        <f>X207</f>
        <v>0</v>
      </c>
      <c r="Y901" s="1323"/>
      <c r="Z901" s="1323"/>
      <c r="AA901" s="497"/>
      <c r="AB901" s="1323">
        <f>AB207</f>
        <v>0</v>
      </c>
      <c r="AC901" s="1323"/>
      <c r="AD901" s="1323"/>
      <c r="AE901" s="497"/>
      <c r="AF901" s="1323">
        <f>AF207</f>
        <v>0</v>
      </c>
      <c r="AG901" s="1323"/>
      <c r="AH901" s="1323"/>
      <c r="AI901" s="497"/>
      <c r="AJ901" s="1323">
        <f>AJ207</f>
        <v>0</v>
      </c>
      <c r="AK901" s="1323"/>
      <c r="AL901" s="1323"/>
      <c r="AM901" s="497"/>
      <c r="AN901" s="1303"/>
      <c r="AO901" s="1303"/>
      <c r="AP901" s="1303"/>
      <c r="AQ901" s="70"/>
      <c r="AR901" s="70"/>
      <c r="AV901" s="1323">
        <f>AV207</f>
        <v>0</v>
      </c>
      <c r="AW901" s="1323"/>
      <c r="AX901" s="1323"/>
      <c r="AY901" s="497"/>
      <c r="AZ901" s="1323">
        <f>AZ207</f>
        <v>0</v>
      </c>
      <c r="BA901" s="1323"/>
      <c r="BB901" s="1323"/>
      <c r="BC901" s="497"/>
      <c r="BD901" s="1323">
        <f>BD207</f>
        <v>0</v>
      </c>
      <c r="BE901" s="1323"/>
      <c r="BF901" s="1323"/>
      <c r="BG901" s="497"/>
      <c r="BH901" s="1323">
        <f>BH207</f>
        <v>0</v>
      </c>
      <c r="BI901" s="1323"/>
      <c r="BJ901" s="1323"/>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3">
        <f>X901*365/4</f>
        <v>0</v>
      </c>
      <c r="Y902" s="1323"/>
      <c r="Z902" s="1323"/>
      <c r="AA902" s="497"/>
      <c r="AB902" s="1323">
        <f>AB901*365/4</f>
        <v>0</v>
      </c>
      <c r="AC902" s="1323"/>
      <c r="AD902" s="1323"/>
      <c r="AE902" s="497"/>
      <c r="AF902" s="1323">
        <f>AF901*365/4</f>
        <v>0</v>
      </c>
      <c r="AG902" s="1323"/>
      <c r="AH902" s="1323"/>
      <c r="AI902" s="497"/>
      <c r="AJ902" s="1323">
        <f>AJ901*365/4</f>
        <v>0</v>
      </c>
      <c r="AK902" s="1323"/>
      <c r="AL902" s="1323"/>
      <c r="AM902" s="497"/>
      <c r="AN902" s="1303"/>
      <c r="AO902" s="1303"/>
      <c r="AP902" s="1303"/>
      <c r="AQ902" s="70"/>
      <c r="AR902" s="70"/>
      <c r="AV902" s="1323">
        <f>AV901*365/4</f>
        <v>0</v>
      </c>
      <c r="AW902" s="1323"/>
      <c r="AX902" s="1323"/>
      <c r="AY902" s="497"/>
      <c r="AZ902" s="1323">
        <f>AZ901*365/4</f>
        <v>0</v>
      </c>
      <c r="BA902" s="1323"/>
      <c r="BB902" s="1323"/>
      <c r="BC902" s="497"/>
      <c r="BD902" s="1323">
        <f>BD901*365/4</f>
        <v>0</v>
      </c>
      <c r="BE902" s="1323"/>
      <c r="BF902" s="1323"/>
      <c r="BG902" s="497"/>
      <c r="BH902" s="1323">
        <f>BH901*365/4</f>
        <v>0</v>
      </c>
      <c r="BI902" s="1323"/>
      <c r="BJ902" s="1323"/>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8">
        <f>IF(X902&gt;100000,-4,IF(X902&gt;10000,-3,IF(X902&gt;1000,-2,$V903)))</f>
        <v>-1</v>
      </c>
      <c r="Y903" s="1318"/>
      <c r="Z903" s="1318"/>
      <c r="AA903" s="540"/>
      <c r="AB903" s="1318">
        <f>IF(AB902&gt;100000,-4,IF(AB902&gt;10000,-3,IF(AB902&gt;1000,-2,$V903)))</f>
        <v>-1</v>
      </c>
      <c r="AC903" s="1318"/>
      <c r="AD903" s="1318"/>
      <c r="AE903" s="540"/>
      <c r="AF903" s="1318">
        <f>IF(AF902&gt;100000,-4,IF(AF902&gt;10000,-3,IF(AF902&gt;1000,-2,$V903)))</f>
        <v>-1</v>
      </c>
      <c r="AG903" s="1318"/>
      <c r="AH903" s="1318"/>
      <c r="AI903" s="540"/>
      <c r="AJ903" s="1318">
        <f>IF(AJ902&gt;100000,-4,IF(AJ902&gt;10000,-3,IF(AJ902&gt;1000,-2,$V903)))</f>
        <v>-1</v>
      </c>
      <c r="AK903" s="1318"/>
      <c r="AL903" s="1318"/>
      <c r="AN903" s="1317"/>
      <c r="AO903" s="1318"/>
      <c r="AP903" s="1318"/>
      <c r="AQ903" s="536"/>
      <c r="AR903" s="536"/>
      <c r="AU903" s="540"/>
      <c r="AV903" s="1318">
        <f>IF(AV902&gt;100000,-4,IF(AV902&gt;10000,-3,IF(AV902&gt;1000,-2,$V903)))</f>
        <v>-1</v>
      </c>
      <c r="AW903" s="1318"/>
      <c r="AX903" s="1318"/>
      <c r="AY903" s="540"/>
      <c r="AZ903" s="1318">
        <f>IF(AZ902&gt;100000,-4,IF(AZ902&gt;10000,-3,IF(AZ902&gt;1000,-2,$V903)))</f>
        <v>-1</v>
      </c>
      <c r="BA903" s="1318"/>
      <c r="BB903" s="1318"/>
      <c r="BC903" s="540"/>
      <c r="BD903" s="1318">
        <f>IF(BD902&gt;100000,-4,IF(BD902&gt;10000,-3,IF(BD902&gt;1000,-2,$V903)))</f>
        <v>-1</v>
      </c>
      <c r="BE903" s="1318"/>
      <c r="BF903" s="1318"/>
      <c r="BG903" s="540"/>
      <c r="BH903" s="1318">
        <f>IF(BH902&gt;100000,-4,IF(BH902&gt;10000,-3,IF(BH902&gt;1000,-2,$V903)))</f>
        <v>-1</v>
      </c>
      <c r="BI903" s="1318"/>
      <c r="BJ903" s="1318"/>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3">
        <f>ROUND(X902,X903)</f>
        <v>0</v>
      </c>
      <c r="Y904" s="1323"/>
      <c r="Z904" s="1323"/>
      <c r="AA904" s="497"/>
      <c r="AB904" s="1323">
        <f>ROUND(AB902,AB903)</f>
        <v>0</v>
      </c>
      <c r="AC904" s="1323"/>
      <c r="AD904" s="1323"/>
      <c r="AE904" s="497"/>
      <c r="AF904" s="1323">
        <f>ROUND(AF902,AF903)</f>
        <v>0</v>
      </c>
      <c r="AG904" s="1323"/>
      <c r="AH904" s="1323"/>
      <c r="AI904" s="497"/>
      <c r="AJ904" s="1323">
        <f>ROUND(AJ902,AJ903)</f>
        <v>0</v>
      </c>
      <c r="AK904" s="1323"/>
      <c r="AL904" s="1323"/>
      <c r="AM904" s="497"/>
      <c r="AN904" s="1303"/>
      <c r="AO904" s="1303"/>
      <c r="AP904" s="1303"/>
      <c r="AQ904" s="70"/>
      <c r="AR904" s="70"/>
      <c r="AV904" s="1323">
        <f>ROUND(AV902,AV903)</f>
        <v>0</v>
      </c>
      <c r="AW904" s="1323"/>
      <c r="AX904" s="1323"/>
      <c r="AY904" s="497"/>
      <c r="AZ904" s="1323">
        <f>ROUND(AZ902,AZ903)</f>
        <v>0</v>
      </c>
      <c r="BA904" s="1323"/>
      <c r="BB904" s="1323"/>
      <c r="BC904" s="497"/>
      <c r="BD904" s="1323">
        <f>ROUND(BD902,BD903)</f>
        <v>0</v>
      </c>
      <c r="BE904" s="1323"/>
      <c r="BF904" s="1323"/>
      <c r="BG904" s="497"/>
      <c r="BH904" s="1323">
        <f>ROUND(BH902,BH903)</f>
        <v>0</v>
      </c>
      <c r="BI904" s="1323"/>
      <c r="BJ904" s="1323"/>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513">
        <f>'1 System specification'!AC181</f>
        <v>0</v>
      </c>
      <c r="K907" s="1513"/>
      <c r="L907" s="1513"/>
      <c r="M907" s="1513"/>
      <c r="N907" s="1513"/>
      <c r="O907" s="1513"/>
      <c r="P907" s="1513"/>
      <c r="U907"/>
      <c r="AA907" s="539"/>
      <c r="AD907" s="58" t="s">
        <v>875</v>
      </c>
      <c r="AF907" s="1350" t="s">
        <v>871</v>
      </c>
      <c r="AG907" s="1350"/>
      <c r="AH907" s="1350"/>
      <c r="AI907" s="539"/>
      <c r="AJ907" s="539"/>
      <c r="AK907" s="539"/>
      <c r="AM907" s="497"/>
      <c r="AN907" s="541"/>
      <c r="AO907" s="541"/>
      <c r="AP907" s="535" t="s">
        <v>20</v>
      </c>
      <c r="AQ907" s="70"/>
      <c r="AR907" s="70"/>
      <c r="BB907" s="58" t="s">
        <v>875</v>
      </c>
      <c r="BD907" s="1350" t="s">
        <v>871</v>
      </c>
      <c r="BE907" s="1350"/>
      <c r="BF907" s="1350"/>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Supermercato</v>
      </c>
      <c r="U909" s="27" t="s">
        <v>875</v>
      </c>
      <c r="W909" s="538"/>
      <c r="X909" s="1514">
        <v>45</v>
      </c>
      <c r="Y909" s="1514"/>
      <c r="Z909" s="1514"/>
      <c r="AA909" s="538"/>
      <c r="AB909" s="1323">
        <f t="shared" ref="AB909:AB915" si="220">IF(J909=J$907,X909,0)</f>
        <v>0</v>
      </c>
      <c r="AC909" s="1323"/>
      <c r="AD909" s="1323"/>
      <c r="AE909" s="538"/>
      <c r="AF909" s="538"/>
      <c r="AG909" s="538"/>
      <c r="AH909" s="538"/>
      <c r="AI909" s="538"/>
      <c r="AJ909" s="538"/>
      <c r="AK909" s="538"/>
      <c r="AL909" s="538"/>
      <c r="AN909" s="540"/>
      <c r="AQ909" s="536"/>
      <c r="AR909" s="536"/>
      <c r="AU909" s="538"/>
      <c r="AV909" s="538"/>
      <c r="AW909" s="538"/>
      <c r="AX909" s="538"/>
      <c r="AY909" s="538"/>
      <c r="AZ909" s="1323">
        <f>IF(J$907=J909,X909,0)</f>
        <v>0</v>
      </c>
      <c r="BA909" s="1323"/>
      <c r="BB909" s="1323"/>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Industria</v>
      </c>
      <c r="U910" s="27" t="s">
        <v>875</v>
      </c>
      <c r="W910" s="538"/>
      <c r="X910" s="1514">
        <v>50</v>
      </c>
      <c r="Y910" s="1514"/>
      <c r="Z910" s="1514"/>
      <c r="AA910" s="538"/>
      <c r="AB910" s="1323">
        <f t="shared" si="220"/>
        <v>0</v>
      </c>
      <c r="AC910" s="1323"/>
      <c r="AD910" s="1323"/>
      <c r="AE910" s="538"/>
      <c r="AF910" s="538"/>
      <c r="AG910" s="538"/>
      <c r="AH910" s="538"/>
      <c r="AI910" s="538"/>
      <c r="AJ910" s="538"/>
      <c r="AK910" s="538"/>
      <c r="AL910" s="538"/>
      <c r="AN910" s="540"/>
      <c r="AQ910" s="536"/>
      <c r="AR910" s="536"/>
      <c r="AU910" s="538"/>
      <c r="AV910" s="538"/>
      <c r="AW910" s="538"/>
      <c r="AX910" s="538"/>
      <c r="AY910" s="538"/>
      <c r="AZ910" s="1323">
        <f t="shared" ref="AZ910:AZ915" si="221">IF(J$907=J910,X910,0)</f>
        <v>0</v>
      </c>
      <c r="BA910" s="1323"/>
      <c r="BB910" s="1323"/>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Industria (raffreddatori di liquidi per freddo di processo) </v>
      </c>
      <c r="U911" s="27" t="s">
        <v>875</v>
      </c>
      <c r="W911" s="538"/>
      <c r="X911" s="1514">
        <v>50</v>
      </c>
      <c r="Y911" s="1514"/>
      <c r="Z911" s="1514"/>
      <c r="AA911" s="538"/>
      <c r="AB911" s="1323">
        <f t="shared" ref="AB911" si="222">IF(J911=J$907,X911,0)</f>
        <v>0</v>
      </c>
      <c r="AC911" s="1323"/>
      <c r="AD911" s="1323"/>
      <c r="AE911" s="538"/>
      <c r="AF911" s="538"/>
      <c r="AG911" s="538"/>
      <c r="AH911" s="538"/>
      <c r="AI911" s="538"/>
      <c r="AJ911" s="538"/>
      <c r="AK911" s="538"/>
      <c r="AL911" s="538"/>
      <c r="AN911" s="540"/>
      <c r="AQ911" s="536"/>
      <c r="AR911" s="536"/>
      <c r="AU911" s="538"/>
      <c r="AV911" s="538"/>
      <c r="AW911" s="538"/>
      <c r="AX911" s="538"/>
      <c r="AY911" s="538"/>
      <c r="AZ911" s="1323">
        <f t="shared" ref="AZ911" si="223">IF(J$907=J911,X911,0)</f>
        <v>0</v>
      </c>
      <c r="BA911" s="1323"/>
      <c r="BB911" s="1323"/>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Commercio</v>
      </c>
      <c r="U912" s="27" t="s">
        <v>875</v>
      </c>
      <c r="W912" s="325"/>
      <c r="X912" s="1514">
        <v>50</v>
      </c>
      <c r="Y912" s="1514"/>
      <c r="Z912" s="1514"/>
      <c r="AA912" s="325"/>
      <c r="AB912" s="1323">
        <f t="shared" si="220"/>
        <v>0</v>
      </c>
      <c r="AC912" s="1323"/>
      <c r="AD912" s="1323"/>
      <c r="AE912" s="325"/>
      <c r="AF912" s="325"/>
      <c r="AG912" s="325"/>
      <c r="AH912" s="325"/>
      <c r="AI912" s="325"/>
      <c r="AJ912" s="325"/>
      <c r="AK912" s="325"/>
      <c r="AL912" s="325"/>
      <c r="AN912" s="537"/>
      <c r="AO912" s="536"/>
      <c r="AP912" s="536"/>
      <c r="AQ912" s="536"/>
      <c r="AR912" s="536"/>
      <c r="AU912" s="325"/>
      <c r="AV912" s="325"/>
      <c r="AW912" s="325"/>
      <c r="AX912" s="325"/>
      <c r="AY912" s="325"/>
      <c r="AZ912" s="1323">
        <f t="shared" si="221"/>
        <v>0</v>
      </c>
      <c r="BA912" s="1323"/>
      <c r="BB912" s="1323"/>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Refrigeratore-climatizzatore vaporizzazione diretta (sistemi VRV, VRF)</v>
      </c>
      <c r="U913" s="27" t="s">
        <v>875</v>
      </c>
      <c r="W913" s="325"/>
      <c r="X913" s="1514">
        <v>45</v>
      </c>
      <c r="Y913" s="1514"/>
      <c r="Z913" s="1514"/>
      <c r="AA913" s="325"/>
      <c r="AB913" s="1323">
        <f t="shared" si="220"/>
        <v>0</v>
      </c>
      <c r="AC913" s="1323"/>
      <c r="AD913" s="1323"/>
      <c r="AE913" s="325"/>
      <c r="AF913" s="325"/>
      <c r="AG913" s="325"/>
      <c r="AH913" s="325"/>
      <c r="AI913" s="325"/>
      <c r="AJ913" s="325"/>
      <c r="AK913" s="325"/>
      <c r="AL913" s="325"/>
      <c r="AN913" s="537"/>
      <c r="AO913" s="536"/>
      <c r="AP913" s="536"/>
      <c r="AQ913" s="536"/>
      <c r="AR913" s="536"/>
      <c r="AU913" s="325"/>
      <c r="AV913" s="325"/>
      <c r="AW913" s="325"/>
      <c r="AX913" s="325"/>
      <c r="AY913" s="325"/>
      <c r="AZ913" s="1323">
        <f t="shared" si="221"/>
        <v>0</v>
      </c>
      <c r="BA913" s="1323"/>
      <c r="BB913" s="1323"/>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Refrigeratore-climatizzatore (refrigeratori condensazione ad acqua)</v>
      </c>
      <c r="U914" s="27" t="s">
        <v>875</v>
      </c>
      <c r="W914" s="538"/>
      <c r="X914" s="1514">
        <v>45</v>
      </c>
      <c r="Y914" s="1514"/>
      <c r="Z914" s="1514"/>
      <c r="AA914" s="538"/>
      <c r="AB914" s="1323">
        <f t="shared" si="220"/>
        <v>0</v>
      </c>
      <c r="AC914" s="1323"/>
      <c r="AD914" s="1323"/>
      <c r="AE914" s="538"/>
      <c r="AF914" s="538"/>
      <c r="AG914" s="538"/>
      <c r="AH914" s="538"/>
      <c r="AI914" s="538"/>
      <c r="AJ914" s="538"/>
      <c r="AK914" s="538"/>
      <c r="AL914" s="538"/>
      <c r="AN914" s="540"/>
      <c r="AQ914" s="536"/>
      <c r="AR914" s="536"/>
      <c r="AU914" s="538"/>
      <c r="AV914" s="538"/>
      <c r="AW914" s="538"/>
      <c r="AX914" s="538"/>
      <c r="AY914" s="538"/>
      <c r="AZ914" s="1323">
        <f t="shared" si="221"/>
        <v>0</v>
      </c>
      <c r="BA914" s="1323"/>
      <c r="BB914" s="1323"/>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Refrigeratore-climatizzatore (refrigeratori condensazione ad aria)</v>
      </c>
      <c r="U915" s="27" t="s">
        <v>875</v>
      </c>
      <c r="W915" s="538"/>
      <c r="X915" s="1514">
        <v>45</v>
      </c>
      <c r="Y915" s="1514"/>
      <c r="Z915" s="1514"/>
      <c r="AA915" s="538"/>
      <c r="AB915" s="1344">
        <f t="shared" si="220"/>
        <v>0</v>
      </c>
      <c r="AC915" s="1344"/>
      <c r="AD915" s="1344"/>
      <c r="AE915" s="538"/>
      <c r="AF915" s="538"/>
      <c r="AG915" s="538"/>
      <c r="AH915" s="538"/>
      <c r="AI915" s="538"/>
      <c r="AJ915" s="538"/>
      <c r="AK915" s="538"/>
      <c r="AL915" s="538"/>
      <c r="AN915" s="540"/>
      <c r="AQ915" s="536"/>
      <c r="AR915" s="536"/>
      <c r="AU915" s="538"/>
      <c r="AV915" s="538"/>
      <c r="AW915" s="538"/>
      <c r="AX915" s="538"/>
      <c r="AY915" s="538"/>
      <c r="AZ915" s="1344">
        <f t="shared" si="221"/>
        <v>0</v>
      </c>
      <c r="BA915" s="1344"/>
      <c r="BB915" s="1344"/>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3">
        <f>SUM(AB909:AD915)</f>
        <v>0</v>
      </c>
      <c r="AC916" s="1323"/>
      <c r="AD916" s="1323"/>
      <c r="AE916" s="538"/>
      <c r="AF916" s="539"/>
      <c r="AG916" s="539"/>
      <c r="AH916" s="539"/>
      <c r="AI916" s="538"/>
      <c r="AN916" s="539"/>
      <c r="AO916" s="539"/>
      <c r="AP916" s="539"/>
      <c r="AQ916" s="536"/>
      <c r="AR916" s="536"/>
      <c r="AU916" s="325"/>
      <c r="AV916" s="325"/>
      <c r="AW916" s="325"/>
      <c r="AX916" s="325"/>
      <c r="AY916" s="325"/>
      <c r="AZ916" s="1323">
        <f>SUM(AZ909:BB915)</f>
        <v>0</v>
      </c>
      <c r="BA916" s="1323"/>
      <c r="BB916" s="1323"/>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44">
        <f>AN213</f>
        <v>0</v>
      </c>
      <c r="AC917" s="1344"/>
      <c r="AD917" s="1344"/>
      <c r="AE917" s="538"/>
      <c r="AF917" s="539"/>
      <c r="AG917" s="539"/>
      <c r="AH917" s="539"/>
      <c r="AI917" s="538"/>
      <c r="AN917" s="539"/>
      <c r="AO917" s="539"/>
      <c r="AP917" s="539"/>
      <c r="AQ917" s="536"/>
      <c r="AR917" s="536"/>
      <c r="AU917" s="325"/>
      <c r="AV917" s="325"/>
      <c r="AW917" s="325"/>
      <c r="AX917" s="325"/>
      <c r="AY917" s="325"/>
      <c r="AZ917" s="1344">
        <f>BL213</f>
        <v>0</v>
      </c>
      <c r="BA917" s="1344"/>
      <c r="BB917" s="1344"/>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3">
        <f>IF(AB917&gt;0,AB917,AB916)</f>
        <v>0</v>
      </c>
      <c r="AC918" s="1323"/>
      <c r="AD918" s="1323"/>
      <c r="AE918" s="538"/>
      <c r="AF918" s="1323">
        <f>AN209</f>
        <v>0</v>
      </c>
      <c r="AG918" s="1323"/>
      <c r="AH918" s="1323"/>
      <c r="AI918" s="538"/>
      <c r="AN918" s="1323">
        <f>AB918*AF918</f>
        <v>0</v>
      </c>
      <c r="AO918" s="1323"/>
      <c r="AP918" s="1323"/>
      <c r="AQ918" s="536"/>
      <c r="AR918" s="536"/>
      <c r="AU918" s="325"/>
      <c r="AV918" s="325"/>
      <c r="AW918" s="325"/>
      <c r="AX918" s="325"/>
      <c r="AY918" s="325"/>
      <c r="AZ918" s="1323">
        <f>IF(AZ917&gt;0,AZ917,AZ916)</f>
        <v>0</v>
      </c>
      <c r="BA918" s="1323"/>
      <c r="BB918" s="1323"/>
      <c r="BC918" s="538"/>
      <c r="BD918" s="1323">
        <f>BL209</f>
        <v>0</v>
      </c>
      <c r="BE918" s="1323"/>
      <c r="BF918" s="1323"/>
      <c r="BG918" s="538"/>
      <c r="BL918" s="1323">
        <f>AZ918*BD918</f>
        <v>0</v>
      </c>
      <c r="BM918" s="1323"/>
      <c r="BN918" s="1323"/>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63" t="str">
        <f>W892</f>
        <v>Primavera</v>
      </c>
      <c r="X920" s="1363"/>
      <c r="Y920" s="1363"/>
      <c r="Z920" s="1363"/>
      <c r="AA920" s="1363" t="str">
        <f t="shared" ref="AA920" si="224">AA892</f>
        <v>Estate</v>
      </c>
      <c r="AB920" s="1363"/>
      <c r="AC920" s="1363"/>
      <c r="AD920" s="1363"/>
      <c r="AE920" s="1363" t="str">
        <f t="shared" ref="AE920" si="225">AE892</f>
        <v>Autunno</v>
      </c>
      <c r="AF920" s="1363"/>
      <c r="AG920" s="1363"/>
      <c r="AH920" s="1363"/>
      <c r="AI920" s="1363" t="str">
        <f t="shared" ref="AI920" si="226">AI892</f>
        <v>Inverno</v>
      </c>
      <c r="AJ920" s="1363"/>
      <c r="AK920" s="1363"/>
      <c r="AL920" s="1363"/>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Basilea</v>
      </c>
      <c r="L921" s="992"/>
      <c r="M921" s="992"/>
      <c r="N921" s="992"/>
      <c r="O921" s="992"/>
      <c r="P921" s="992"/>
      <c r="Q921" s="992"/>
      <c r="R921" s="993"/>
      <c r="S921" s="993"/>
      <c r="T921" s="992"/>
      <c r="U921" s="473"/>
      <c r="W921" s="1364">
        <v>858</v>
      </c>
      <c r="X921" s="1364"/>
      <c r="Y921" s="1272"/>
      <c r="Z921" s="1272"/>
      <c r="AA921" s="1364">
        <v>42</v>
      </c>
      <c r="AB921" s="1364"/>
      <c r="AC921" s="1272"/>
      <c r="AD921" s="1272"/>
      <c r="AE921" s="1364">
        <v>722</v>
      </c>
      <c r="AF921" s="1364"/>
      <c r="AG921" s="1272"/>
      <c r="AH921" s="1272"/>
      <c r="AI921" s="1364">
        <v>1726</v>
      </c>
      <c r="AJ921" s="1364"/>
      <c r="AK921" s="1272"/>
      <c r="AL921" s="1272"/>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Berna</v>
      </c>
      <c r="L922" s="992"/>
      <c r="M922" s="992"/>
      <c r="N922" s="992"/>
      <c r="O922" s="992"/>
      <c r="P922" s="992"/>
      <c r="Q922" s="992"/>
      <c r="R922" s="993"/>
      <c r="S922" s="993"/>
      <c r="T922" s="992"/>
      <c r="U922" s="473"/>
      <c r="W922" s="1364">
        <v>846</v>
      </c>
      <c r="X922" s="1364"/>
      <c r="Y922" s="1272"/>
      <c r="Z922" s="1272"/>
      <c r="AA922" s="1364">
        <v>31</v>
      </c>
      <c r="AB922" s="1364"/>
      <c r="AC922" s="1272"/>
      <c r="AD922" s="1272"/>
      <c r="AE922" s="1364">
        <v>804</v>
      </c>
      <c r="AF922" s="1364"/>
      <c r="AG922" s="1272"/>
      <c r="AH922" s="1272"/>
      <c r="AI922" s="1364">
        <v>1761</v>
      </c>
      <c r="AJ922" s="1364"/>
      <c r="AK922" s="1272"/>
      <c r="AL922" s="1272"/>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64">
        <v>1629</v>
      </c>
      <c r="X923" s="1364"/>
      <c r="Y923" s="1272"/>
      <c r="Z923" s="1272"/>
      <c r="AA923" s="1364">
        <v>560</v>
      </c>
      <c r="AB923" s="1364"/>
      <c r="AC923" s="1272"/>
      <c r="AD923" s="1272"/>
      <c r="AE923" s="1364">
        <v>1363</v>
      </c>
      <c r="AF923" s="1364"/>
      <c r="AG923" s="1272"/>
      <c r="AH923" s="1272"/>
      <c r="AI923" s="1364">
        <v>2332</v>
      </c>
      <c r="AJ923" s="1364"/>
      <c r="AK923" s="1272"/>
      <c r="AL923" s="1272"/>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Ginevra</v>
      </c>
      <c r="L924" s="992"/>
      <c r="M924" s="992"/>
      <c r="N924" s="992"/>
      <c r="O924" s="992"/>
      <c r="P924" s="992"/>
      <c r="Q924" s="992"/>
      <c r="R924" s="993"/>
      <c r="S924" s="993"/>
      <c r="T924" s="992"/>
      <c r="U924" s="473"/>
      <c r="W924" s="1364">
        <v>786</v>
      </c>
      <c r="X924" s="1364"/>
      <c r="Y924" s="1272"/>
      <c r="Z924" s="1272"/>
      <c r="AA924" s="1364">
        <v>11</v>
      </c>
      <c r="AB924" s="1364"/>
      <c r="AC924" s="1272"/>
      <c r="AD924" s="1272"/>
      <c r="AE924" s="1364">
        <v>635</v>
      </c>
      <c r="AF924" s="1364"/>
      <c r="AG924" s="1272"/>
      <c r="AH924" s="1272"/>
      <c r="AI924" s="1364">
        <v>1640</v>
      </c>
      <c r="AJ924" s="1364"/>
      <c r="AK924" s="1272"/>
      <c r="AL924" s="1272"/>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64">
        <v>1204</v>
      </c>
      <c r="X925" s="1364"/>
      <c r="Y925" s="1272"/>
      <c r="Z925" s="1272"/>
      <c r="AA925" s="1364">
        <v>202</v>
      </c>
      <c r="AB925" s="1364"/>
      <c r="AC925" s="1272"/>
      <c r="AD925" s="1272"/>
      <c r="AE925" s="1364">
        <v>911</v>
      </c>
      <c r="AF925" s="1364"/>
      <c r="AG925" s="1272"/>
      <c r="AH925" s="1272"/>
      <c r="AI925" s="1364">
        <v>1868</v>
      </c>
      <c r="AJ925" s="1364"/>
      <c r="AK925" s="1272"/>
      <c r="AL925" s="1272"/>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64">
        <v>603</v>
      </c>
      <c r="X926" s="1364"/>
      <c r="Y926" s="1272"/>
      <c r="Z926" s="1272"/>
      <c r="AA926" s="1364">
        <v>5</v>
      </c>
      <c r="AB926" s="1364"/>
      <c r="AC926" s="1272"/>
      <c r="AD926" s="1272"/>
      <c r="AE926" s="1364">
        <v>492</v>
      </c>
      <c r="AF926" s="1364"/>
      <c r="AG926" s="1272"/>
      <c r="AH926" s="1272"/>
      <c r="AI926" s="1364">
        <v>1544</v>
      </c>
      <c r="AJ926" s="1364"/>
      <c r="AK926" s="1272"/>
      <c r="AL926" s="1272"/>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San Gallo</v>
      </c>
      <c r="L927" s="992"/>
      <c r="M927" s="992"/>
      <c r="N927" s="992"/>
      <c r="O927" s="992"/>
      <c r="P927" s="992"/>
      <c r="Q927" s="992"/>
      <c r="R927" s="993"/>
      <c r="S927" s="993"/>
      <c r="T927" s="992"/>
      <c r="U927" s="473"/>
      <c r="W927" s="1364">
        <v>971</v>
      </c>
      <c r="X927" s="1364"/>
      <c r="Y927" s="1272"/>
      <c r="Z927" s="1272"/>
      <c r="AA927" s="1364">
        <v>84</v>
      </c>
      <c r="AB927" s="1364"/>
      <c r="AC927" s="1272"/>
      <c r="AD927" s="1272"/>
      <c r="AE927" s="1364">
        <v>829</v>
      </c>
      <c r="AF927" s="1364"/>
      <c r="AG927" s="1272"/>
      <c r="AH927" s="1272"/>
      <c r="AI927" s="1364">
        <v>1786</v>
      </c>
      <c r="AJ927" s="1364"/>
      <c r="AK927" s="1272"/>
      <c r="AL927" s="1272"/>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Zurigo</v>
      </c>
      <c r="L928" s="992"/>
      <c r="M928" s="992"/>
      <c r="N928" s="992"/>
      <c r="O928" s="992"/>
      <c r="P928" s="992"/>
      <c r="Q928" s="992"/>
      <c r="R928" s="993"/>
      <c r="S928" s="993"/>
      <c r="T928" s="992"/>
      <c r="U928" s="473"/>
      <c r="W928" s="1364">
        <v>804</v>
      </c>
      <c r="X928" s="1364"/>
      <c r="Y928" s="1272"/>
      <c r="Z928" s="1272"/>
      <c r="AA928" s="1364">
        <v>40</v>
      </c>
      <c r="AB928" s="1364"/>
      <c r="AC928" s="1272"/>
      <c r="AD928" s="1272"/>
      <c r="AE928" s="1364">
        <v>761</v>
      </c>
      <c r="AF928" s="1364"/>
      <c r="AG928" s="1272"/>
      <c r="AH928" s="1272"/>
      <c r="AI928" s="1364">
        <v>1705</v>
      </c>
      <c r="AJ928" s="1364"/>
      <c r="AK928" s="1272"/>
      <c r="AL928" s="1272"/>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516"/>
      <c r="X929" s="1516"/>
      <c r="Y929" s="1272"/>
      <c r="Z929" s="1272"/>
      <c r="AA929" s="1516"/>
      <c r="AB929" s="1516"/>
      <c r="AC929" s="1272"/>
      <c r="AD929" s="1272"/>
      <c r="AE929" s="1516"/>
      <c r="AF929" s="1516"/>
      <c r="AG929" s="1272"/>
      <c r="AH929" s="1272"/>
      <c r="AI929" s="1516"/>
      <c r="AJ929" s="1516"/>
      <c r="AK929" s="1272"/>
      <c r="AL929" s="1272"/>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Basilea</v>
      </c>
      <c r="L930" s="992"/>
      <c r="M930" s="992"/>
      <c r="N930" s="992"/>
      <c r="O930" s="992"/>
      <c r="P930" s="992"/>
      <c r="Q930" s="992"/>
      <c r="R930" s="994"/>
      <c r="S930" s="994"/>
      <c r="T930" s="992"/>
      <c r="U930" s="473"/>
      <c r="W930" s="1271">
        <f>IF($K921=$K$939,W921,0)</f>
        <v>0</v>
      </c>
      <c r="X930" s="1271"/>
      <c r="Y930" s="1272"/>
      <c r="Z930" s="1272"/>
      <c r="AA930" s="1271">
        <f>IF($K921=$K$939,AA921,0)</f>
        <v>0</v>
      </c>
      <c r="AB930" s="1271"/>
      <c r="AC930" s="1272"/>
      <c r="AD930" s="1272"/>
      <c r="AE930" s="1271">
        <f>IF($K921=$K$939,AE921,0)</f>
        <v>0</v>
      </c>
      <c r="AF930" s="1271"/>
      <c r="AG930" s="1272"/>
      <c r="AH930" s="1272"/>
      <c r="AI930" s="1271">
        <f>IF($K921=$K$939,AI921,0)</f>
        <v>0</v>
      </c>
      <c r="AJ930" s="1271"/>
      <c r="AK930" s="1272"/>
      <c r="AL930" s="1272"/>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Berna</v>
      </c>
      <c r="L931" s="992"/>
      <c r="M931" s="992"/>
      <c r="N931" s="992"/>
      <c r="O931" s="992"/>
      <c r="P931" s="992"/>
      <c r="Q931" s="992"/>
      <c r="R931" s="994"/>
      <c r="S931" s="994"/>
      <c r="T931" s="992"/>
      <c r="U931" s="473"/>
      <c r="W931" s="1271">
        <f t="shared" ref="W931:W936" si="228">IF($K922=$K$939,W922,0)</f>
        <v>0</v>
      </c>
      <c r="X931" s="1271"/>
      <c r="Y931" s="1272"/>
      <c r="Z931" s="1272"/>
      <c r="AA931" s="1271">
        <f t="shared" ref="AA931:AA936" si="229">IF($K922=$K$939,AA922,0)</f>
        <v>0</v>
      </c>
      <c r="AB931" s="1271"/>
      <c r="AC931" s="1272"/>
      <c r="AD931" s="1272"/>
      <c r="AE931" s="1271">
        <f t="shared" ref="AE931:AE936" si="230">IF($K922=$K$939,AE922,0)</f>
        <v>0</v>
      </c>
      <c r="AF931" s="1271"/>
      <c r="AG931" s="1272"/>
      <c r="AH931" s="1272"/>
      <c r="AI931" s="1271">
        <f t="shared" ref="AI931:AI936" si="231">IF($K922=$K$939,AI922,0)</f>
        <v>0</v>
      </c>
      <c r="AJ931" s="1271"/>
      <c r="AK931" s="1272"/>
      <c r="AL931" s="1272"/>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271">
        <f t="shared" si="228"/>
        <v>0</v>
      </c>
      <c r="X932" s="1271"/>
      <c r="Y932" s="1272"/>
      <c r="Z932" s="1272"/>
      <c r="AA932" s="1271">
        <f t="shared" si="229"/>
        <v>0</v>
      </c>
      <c r="AB932" s="1271"/>
      <c r="AC932" s="1272"/>
      <c r="AD932" s="1272"/>
      <c r="AE932" s="1271">
        <f t="shared" si="230"/>
        <v>0</v>
      </c>
      <c r="AF932" s="1271"/>
      <c r="AG932" s="1272"/>
      <c r="AH932" s="1272"/>
      <c r="AI932" s="1271">
        <f t="shared" si="231"/>
        <v>0</v>
      </c>
      <c r="AJ932" s="1271"/>
      <c r="AK932" s="1272"/>
      <c r="AL932" s="1272"/>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Ginevra</v>
      </c>
      <c r="L933" s="992"/>
      <c r="M933" s="992"/>
      <c r="N933" s="992"/>
      <c r="O933" s="992"/>
      <c r="P933" s="992"/>
      <c r="Q933" s="992"/>
      <c r="R933" s="994"/>
      <c r="S933" s="994"/>
      <c r="T933" s="992"/>
      <c r="U933" s="473"/>
      <c r="W933" s="1271">
        <f t="shared" si="228"/>
        <v>0</v>
      </c>
      <c r="X933" s="1271"/>
      <c r="Y933" s="1272"/>
      <c r="Z933" s="1272"/>
      <c r="AA933" s="1271">
        <f t="shared" si="229"/>
        <v>0</v>
      </c>
      <c r="AB933" s="1271"/>
      <c r="AC933" s="1272"/>
      <c r="AD933" s="1272"/>
      <c r="AE933" s="1271">
        <f t="shared" si="230"/>
        <v>0</v>
      </c>
      <c r="AF933" s="1271"/>
      <c r="AG933" s="1272"/>
      <c r="AH933" s="1272"/>
      <c r="AI933" s="1271">
        <f t="shared" si="231"/>
        <v>0</v>
      </c>
      <c r="AJ933" s="1271"/>
      <c r="AK933" s="1272"/>
      <c r="AL933" s="1272"/>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271">
        <f t="shared" si="228"/>
        <v>0</v>
      </c>
      <c r="X934" s="1271"/>
      <c r="Y934" s="1272"/>
      <c r="Z934" s="1272"/>
      <c r="AA934" s="1271">
        <f t="shared" si="229"/>
        <v>0</v>
      </c>
      <c r="AB934" s="1271"/>
      <c r="AC934" s="1272"/>
      <c r="AD934" s="1272"/>
      <c r="AE934" s="1271">
        <f t="shared" si="230"/>
        <v>0</v>
      </c>
      <c r="AF934" s="1271"/>
      <c r="AG934" s="1272"/>
      <c r="AH934" s="1272"/>
      <c r="AI934" s="1271">
        <f t="shared" si="231"/>
        <v>0</v>
      </c>
      <c r="AJ934" s="1271"/>
      <c r="AK934" s="1272"/>
      <c r="AL934" s="1272"/>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271">
        <f t="shared" si="228"/>
        <v>0</v>
      </c>
      <c r="X935" s="1271"/>
      <c r="Y935" s="1272"/>
      <c r="Z935" s="1272"/>
      <c r="AA935" s="1271">
        <f t="shared" si="229"/>
        <v>0</v>
      </c>
      <c r="AB935" s="1271"/>
      <c r="AC935" s="1272"/>
      <c r="AD935" s="1272"/>
      <c r="AE935" s="1271">
        <f t="shared" si="230"/>
        <v>0</v>
      </c>
      <c r="AF935" s="1271"/>
      <c r="AG935" s="1272"/>
      <c r="AH935" s="1272"/>
      <c r="AI935" s="1271">
        <f t="shared" si="231"/>
        <v>0</v>
      </c>
      <c r="AJ935" s="1271"/>
      <c r="AK935" s="1272"/>
      <c r="AL935" s="1272"/>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San Gallo</v>
      </c>
      <c r="L936" s="992"/>
      <c r="M936" s="992"/>
      <c r="N936" s="992"/>
      <c r="O936" s="992"/>
      <c r="P936" s="992"/>
      <c r="Q936" s="992"/>
      <c r="R936" s="994"/>
      <c r="S936" s="994"/>
      <c r="T936" s="992"/>
      <c r="U936" s="473"/>
      <c r="W936" s="1271">
        <f t="shared" si="228"/>
        <v>0</v>
      </c>
      <c r="X936" s="1271"/>
      <c r="Y936" s="1272"/>
      <c r="Z936" s="1272"/>
      <c r="AA936" s="1271">
        <f t="shared" si="229"/>
        <v>0</v>
      </c>
      <c r="AB936" s="1271"/>
      <c r="AC936" s="1272"/>
      <c r="AD936" s="1272"/>
      <c r="AE936" s="1271">
        <f t="shared" si="230"/>
        <v>0</v>
      </c>
      <c r="AF936" s="1271"/>
      <c r="AG936" s="1272"/>
      <c r="AH936" s="1272"/>
      <c r="AI936" s="1271">
        <f t="shared" si="231"/>
        <v>0</v>
      </c>
      <c r="AJ936" s="1271"/>
      <c r="AK936" s="1272"/>
      <c r="AL936" s="1272"/>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Zurigo</v>
      </c>
      <c r="L937" s="992"/>
      <c r="M937" s="992"/>
      <c r="N937" s="992"/>
      <c r="O937" s="992"/>
      <c r="P937" s="992"/>
      <c r="Q937" s="992"/>
      <c r="R937" s="994"/>
      <c r="S937" s="994"/>
      <c r="T937" s="992"/>
      <c r="U937" s="473"/>
      <c r="W937" s="1271">
        <f>IF($K939=0,W928,IF($K928=$K$939,W928,0))</f>
        <v>804</v>
      </c>
      <c r="X937" s="1271"/>
      <c r="Y937" s="1272"/>
      <c r="Z937" s="1272"/>
      <c r="AA937" s="1271">
        <f>IF($K939=0,AA928,IF($K928=$K$939,AA928,0))</f>
        <v>40</v>
      </c>
      <c r="AB937" s="1271"/>
      <c r="AC937" s="1272"/>
      <c r="AD937" s="1272"/>
      <c r="AE937" s="1271">
        <f>IF($K939=0,AE928,IF($K928=$K$939,AE928,0))</f>
        <v>761</v>
      </c>
      <c r="AF937" s="1271"/>
      <c r="AG937" s="1272"/>
      <c r="AH937" s="1272"/>
      <c r="AI937" s="1271">
        <f>IF($K939=0,AI928,IF($K928=$K$939,AI928,0))</f>
        <v>1705</v>
      </c>
      <c r="AJ937" s="1271"/>
      <c r="AK937" s="1272"/>
      <c r="AL937" s="1272"/>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62">
        <f>SUM(W930:X937)</f>
        <v>804</v>
      </c>
      <c r="X939" s="1362"/>
      <c r="Y939" s="982"/>
      <c r="Z939" s="982"/>
      <c r="AA939" s="1362">
        <f>SUM(AA930:AB937)</f>
        <v>40</v>
      </c>
      <c r="AB939" s="1362"/>
      <c r="AC939" s="982"/>
      <c r="AD939" s="982"/>
      <c r="AE939" s="1362">
        <f>SUM(AE930:AF937)</f>
        <v>761</v>
      </c>
      <c r="AF939" s="1362"/>
      <c r="AG939" s="982"/>
      <c r="AH939" s="982"/>
      <c r="AI939" s="1362">
        <f>SUM(AI930:AJ937)</f>
        <v>1705</v>
      </c>
      <c r="AJ939" s="1362"/>
      <c r="AK939" s="1272"/>
      <c r="AL939" s="1272"/>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91">
        <f>SUM(W939:AJ939)</f>
        <v>3310</v>
      </c>
      <c r="P941" s="1301"/>
      <c r="Q941" s="1301"/>
      <c r="R941" s="1388">
        <f>O941/O$941</f>
        <v>1</v>
      </c>
      <c r="S941" s="1388"/>
      <c r="U941" s="27"/>
      <c r="W941" s="1365">
        <f>W939</f>
        <v>804</v>
      </c>
      <c r="X941" s="1365"/>
      <c r="Y941" s="1388">
        <f>W941/O941</f>
        <v>0.24290030211480362</v>
      </c>
      <c r="Z941" s="1388"/>
      <c r="AA941" s="1365">
        <f>AA939</f>
        <v>40</v>
      </c>
      <c r="AB941" s="1365"/>
      <c r="AC941" s="1388">
        <f>AA941/O941</f>
        <v>1.2084592145015106E-2</v>
      </c>
      <c r="AD941" s="1388"/>
      <c r="AE941" s="1365">
        <f>AE939</f>
        <v>761</v>
      </c>
      <c r="AF941" s="1365"/>
      <c r="AG941" s="1388">
        <f>AE941/O941</f>
        <v>0.22990936555891239</v>
      </c>
      <c r="AH941" s="1388"/>
      <c r="AI941" s="1365">
        <f>AI939</f>
        <v>1705</v>
      </c>
      <c r="AJ941" s="1365"/>
      <c r="AK941" s="1388">
        <f>AI941/O941</f>
        <v>0.51510574018126887</v>
      </c>
      <c r="AL941" s="1388"/>
      <c r="AN941" s="537"/>
      <c r="AO941" s="536"/>
      <c r="AP941" s="536"/>
      <c r="AQ941" s="536"/>
      <c r="AR941" s="536"/>
      <c r="AU941" s="1516">
        <f>W941</f>
        <v>804</v>
      </c>
      <c r="AV941" s="1516"/>
      <c r="AW941" s="1388">
        <f>Y941</f>
        <v>0.24290030211480362</v>
      </c>
      <c r="AX941" s="1388"/>
      <c r="AY941" s="1516">
        <f>AA941</f>
        <v>40</v>
      </c>
      <c r="AZ941" s="1516"/>
      <c r="BA941" s="1388">
        <f>AC941</f>
        <v>1.2084592145015106E-2</v>
      </c>
      <c r="BB941" s="1388"/>
      <c r="BC941" s="1516">
        <f>AE941</f>
        <v>761</v>
      </c>
      <c r="BD941" s="1516"/>
      <c r="BE941" s="1388">
        <f>AG941</f>
        <v>0.22990936555891239</v>
      </c>
      <c r="BF941" s="1388"/>
      <c r="BG941" s="1516">
        <f>AI941</f>
        <v>1705</v>
      </c>
      <c r="BH941" s="1516"/>
      <c r="BI941" s="1388">
        <f>AK941</f>
        <v>0.51510574018126887</v>
      </c>
      <c r="BJ941" s="1388"/>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91">
        <f>AN918*Y941</f>
        <v>0</v>
      </c>
      <c r="X943" s="1291"/>
      <c r="Y943" s="1291"/>
      <c r="Z943" s="1291"/>
      <c r="AA943" s="1291">
        <f>AN918*AC941</f>
        <v>0</v>
      </c>
      <c r="AB943" s="1291"/>
      <c r="AC943" s="1291"/>
      <c r="AD943" s="1291"/>
      <c r="AE943" s="1291">
        <f>AN918*AG941</f>
        <v>0</v>
      </c>
      <c r="AF943" s="1291"/>
      <c r="AG943" s="1291"/>
      <c r="AH943" s="1291"/>
      <c r="AI943" s="1291">
        <f>AN918*AK941</f>
        <v>0</v>
      </c>
      <c r="AJ943" s="1291"/>
      <c r="AK943" s="1291"/>
      <c r="AL943" s="1291"/>
      <c r="AM943" s="1300">
        <f>SUM(W943:AL943)</f>
        <v>0</v>
      </c>
      <c r="AN943" s="1300"/>
      <c r="AO943" s="1300"/>
      <c r="AP943" s="1300"/>
      <c r="AQ943" s="536"/>
      <c r="AR943" s="536"/>
      <c r="AU943" s="1291">
        <f>BL918*AW941</f>
        <v>0</v>
      </c>
      <c r="AV943" s="1291"/>
      <c r="AW943" s="1291"/>
      <c r="AX943" s="1291"/>
      <c r="AY943" s="1291">
        <f>BL918*BA941</f>
        <v>0</v>
      </c>
      <c r="AZ943" s="1291"/>
      <c r="BA943" s="1291"/>
      <c r="BB943" s="1291"/>
      <c r="BC943" s="1291">
        <f>BL918*BE941</f>
        <v>0</v>
      </c>
      <c r="BD943" s="1291"/>
      <c r="BE943" s="1291"/>
      <c r="BF943" s="1291"/>
      <c r="BG943" s="1291">
        <f>BL918*BI941</f>
        <v>0</v>
      </c>
      <c r="BH943" s="1291"/>
      <c r="BI943" s="1291"/>
      <c r="BJ943" s="1291"/>
      <c r="BK943" s="1300">
        <f>SUM(AU943:BJ943)</f>
        <v>0</v>
      </c>
      <c r="BL943" s="1300"/>
      <c r="BM943" s="1300"/>
      <c r="BN943" s="1300"/>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7">
        <f>IF(W943&gt;100000,-4,IF(W943&gt;10000,-3,IF(W943&gt;1000,-2,$V944)))</f>
        <v>-1</v>
      </c>
      <c r="X944" s="1318"/>
      <c r="Y944" s="1318"/>
      <c r="Z944" s="1318"/>
      <c r="AA944" s="1317">
        <f>IF(AA943&gt;100000,-4,IF(AA943&gt;10000,-3,IF(AA943&gt;1000,-2,$V944)))</f>
        <v>-1</v>
      </c>
      <c r="AB944" s="1318"/>
      <c r="AC944" s="1318"/>
      <c r="AD944" s="1318"/>
      <c r="AE944" s="1317">
        <f>IF(AE943&gt;100000,-4,IF(AE943&gt;10000,-3,IF(AE943&gt;1000,-2,$V944)))</f>
        <v>-1</v>
      </c>
      <c r="AF944" s="1318"/>
      <c r="AG944" s="1318"/>
      <c r="AH944" s="1318"/>
      <c r="AI944" s="1317">
        <f>IF(AI943&gt;100000,-4,IF(AI943&gt;10000,-3,IF(AI943&gt;1000,-2,$V944)))</f>
        <v>-1</v>
      </c>
      <c r="AJ944" s="1318"/>
      <c r="AK944" s="1318"/>
      <c r="AL944" s="1318"/>
      <c r="AM944" s="1349"/>
      <c r="AN944" s="1349"/>
      <c r="AO944" s="1349"/>
      <c r="AP944" s="1349"/>
      <c r="AQ944" s="536"/>
      <c r="AR944" s="536"/>
      <c r="AT944" s="494">
        <f>IF(BK943&gt;10000,-2,-1)</f>
        <v>-1</v>
      </c>
      <c r="AU944" s="1317">
        <f>IF(AU943&gt;100000,-4,IF(AU943&gt;10000,-3,IF(AU943&gt;1000,-2,$V944)))</f>
        <v>-1</v>
      </c>
      <c r="AV944" s="1318"/>
      <c r="AW944" s="1318"/>
      <c r="AX944" s="1318"/>
      <c r="AY944" s="1317">
        <f>IF(AY943&gt;100000,-4,IF(AY943&gt;10000,-3,IF(AY943&gt;1000,-2,$V944)))</f>
        <v>-1</v>
      </c>
      <c r="AZ944" s="1318"/>
      <c r="BA944" s="1318"/>
      <c r="BB944" s="1318"/>
      <c r="BC944" s="1317">
        <f>IF(BC943&gt;100000,-4,IF(BC943&gt;10000,-3,IF(BC943&gt;1000,-2,$V944)))</f>
        <v>-1</v>
      </c>
      <c r="BD944" s="1318"/>
      <c r="BE944" s="1318"/>
      <c r="BF944" s="1318"/>
      <c r="BG944" s="1317">
        <f>IF(BG943&gt;100000,-4,IF(BG943&gt;10000,-3,IF(BG943&gt;1000,-2,$V944)))</f>
        <v>-1</v>
      </c>
      <c r="BH944" s="1318"/>
      <c r="BI944" s="1318"/>
      <c r="BJ944" s="1318"/>
      <c r="BK944" s="1349"/>
      <c r="BL944" s="1349"/>
      <c r="BM944" s="1349"/>
      <c r="BN944" s="1349"/>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91">
        <f>ROUND(W943,W944)</f>
        <v>0</v>
      </c>
      <c r="X945" s="1291"/>
      <c r="Y945" s="1291"/>
      <c r="Z945" s="1291"/>
      <c r="AA945" s="1291">
        <f t="shared" ref="AA945" si="232">ROUND(AA943,AA944)</f>
        <v>0</v>
      </c>
      <c r="AB945" s="1291"/>
      <c r="AC945" s="1291"/>
      <c r="AD945" s="1291"/>
      <c r="AE945" s="1291">
        <f t="shared" ref="AE945" si="233">ROUND(AE943,AE944)</f>
        <v>0</v>
      </c>
      <c r="AF945" s="1291"/>
      <c r="AG945" s="1291"/>
      <c r="AH945" s="1291"/>
      <c r="AI945" s="1291">
        <f>ROUND(AI943,AI944)</f>
        <v>0</v>
      </c>
      <c r="AJ945" s="1291"/>
      <c r="AK945" s="1291"/>
      <c r="AL945" s="1291"/>
      <c r="AM945" s="1300">
        <f>SUM(W945:AL945)</f>
        <v>0</v>
      </c>
      <c r="AN945" s="1300"/>
      <c r="AO945" s="1300"/>
      <c r="AP945" s="1300"/>
      <c r="AQ945" s="536"/>
      <c r="AR945" s="536"/>
      <c r="AU945" s="1291">
        <f>ROUND(AU943,AU944)</f>
        <v>0</v>
      </c>
      <c r="AV945" s="1291"/>
      <c r="AW945" s="1291"/>
      <c r="AX945" s="1291"/>
      <c r="AY945" s="1291">
        <f t="shared" ref="AY945" si="234">ROUND(AY943,AY944)</f>
        <v>0</v>
      </c>
      <c r="AZ945" s="1291"/>
      <c r="BA945" s="1291"/>
      <c r="BB945" s="1291"/>
      <c r="BC945" s="1291">
        <f t="shared" ref="BC945" si="235">ROUND(BC943,BC944)</f>
        <v>0</v>
      </c>
      <c r="BD945" s="1291"/>
      <c r="BE945" s="1291"/>
      <c r="BF945" s="1291"/>
      <c r="BG945" s="1291">
        <f>ROUND(BG943,BG944)</f>
        <v>0</v>
      </c>
      <c r="BH945" s="1291"/>
      <c r="BI945" s="1291"/>
      <c r="BJ945" s="1291"/>
      <c r="BK945" s="1300">
        <f>SUM(AU945:BJ945)</f>
        <v>0</v>
      </c>
      <c r="BL945" s="1300"/>
      <c r="BM945" s="1300"/>
      <c r="BN945" s="1300"/>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301" t="str">
        <f>W962</f>
        <v>Primavera</v>
      </c>
      <c r="X948" s="1301"/>
      <c r="Y948" s="1301"/>
      <c r="Z948" s="1301"/>
      <c r="AA948" s="1301" t="str">
        <f t="shared" ref="AA948" si="236">AA962</f>
        <v>Estate</v>
      </c>
      <c r="AB948" s="1301"/>
      <c r="AC948" s="1301"/>
      <c r="AD948" s="1301"/>
      <c r="AE948" s="1301" t="str">
        <f t="shared" ref="AE948" si="237">AE962</f>
        <v>Autunno</v>
      </c>
      <c r="AF948" s="1301"/>
      <c r="AG948" s="1301"/>
      <c r="AH948" s="1301"/>
      <c r="AI948" s="1301" t="str">
        <f t="shared" ref="AI948" si="238">AI962</f>
        <v>Inverno</v>
      </c>
      <c r="AJ948" s="1301"/>
      <c r="AK948" s="1301"/>
      <c r="AL948" s="1301"/>
      <c r="AM948" s="1301" t="str">
        <f t="shared" ref="AM948" si="239">AM962</f>
        <v>Anno</v>
      </c>
      <c r="AN948" s="1301"/>
      <c r="AO948" s="1301"/>
      <c r="AP948" s="1301"/>
      <c r="AU948" s="1301" t="str">
        <f>W948</f>
        <v>Primavera</v>
      </c>
      <c r="AV948" s="1301"/>
      <c r="AW948" s="1301"/>
      <c r="AX948" s="1301"/>
      <c r="AY948" s="1301" t="str">
        <f t="shared" ref="AY948" si="240">AA948</f>
        <v>Estate</v>
      </c>
      <c r="AZ948" s="1301"/>
      <c r="BA948" s="1301"/>
      <c r="BB948" s="1301"/>
      <c r="BC948" s="1301" t="str">
        <f t="shared" ref="BC948" si="241">AE948</f>
        <v>Autunno</v>
      </c>
      <c r="BD948" s="1301"/>
      <c r="BE948" s="1301"/>
      <c r="BF948" s="1301"/>
      <c r="BG948" s="1301" t="str">
        <f t="shared" ref="BG948" si="242">AI948</f>
        <v>Inverno</v>
      </c>
      <c r="BH948" s="1301"/>
      <c r="BI948" s="1301"/>
      <c r="BJ948" s="1301"/>
      <c r="BK948" s="1301" t="str">
        <f t="shared" ref="BK948" si="243">AM948</f>
        <v>Anno</v>
      </c>
      <c r="BL948" s="1301"/>
      <c r="BM948" s="1301"/>
      <c r="BN948" s="1301"/>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300">
        <f>AB114</f>
        <v>0</v>
      </c>
      <c r="X950" s="1301"/>
      <c r="Y950" s="1301"/>
      <c r="Z950" s="1301"/>
      <c r="AA950" s="1300">
        <f>W950</f>
        <v>0</v>
      </c>
      <c r="AB950" s="1301"/>
      <c r="AC950" s="1301"/>
      <c r="AD950" s="1301"/>
      <c r="AE950" s="1300">
        <f>AA950</f>
        <v>0</v>
      </c>
      <c r="AF950" s="1301"/>
      <c r="AG950" s="1301"/>
      <c r="AH950" s="1301"/>
      <c r="AI950" s="1300">
        <f>AE950</f>
        <v>0</v>
      </c>
      <c r="AJ950" s="1301"/>
      <c r="AK950" s="1301"/>
      <c r="AL950" s="1301"/>
      <c r="AM950" s="1300">
        <f>AI950</f>
        <v>0</v>
      </c>
      <c r="AN950" s="1301"/>
      <c r="AO950" s="1301"/>
      <c r="AP950" s="1301"/>
      <c r="AU950" s="1300">
        <f>AZ114</f>
        <v>0</v>
      </c>
      <c r="AV950" s="1301"/>
      <c r="AW950" s="1301"/>
      <c r="AX950" s="1301"/>
      <c r="AY950" s="1300">
        <f>AU950</f>
        <v>0</v>
      </c>
      <c r="AZ950" s="1301"/>
      <c r="BA950" s="1301"/>
      <c r="BB950" s="1301"/>
      <c r="BC950" s="1300">
        <f>AY950</f>
        <v>0</v>
      </c>
      <c r="BD950" s="1301"/>
      <c r="BE950" s="1301"/>
      <c r="BF950" s="1301"/>
      <c r="BG950" s="1300">
        <f>BC950</f>
        <v>0</v>
      </c>
      <c r="BH950" s="1301"/>
      <c r="BI950" s="1301"/>
      <c r="BJ950" s="1301"/>
      <c r="BK950" s="1300">
        <f>BG950</f>
        <v>0</v>
      </c>
      <c r="BL950" s="1301"/>
      <c r="BM950" s="1301"/>
      <c r="BN950" s="1301"/>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300">
        <f>X899*W$950</f>
        <v>0</v>
      </c>
      <c r="X953" s="1301"/>
      <c r="Y953" s="1301"/>
      <c r="Z953" s="1301"/>
      <c r="AA953" s="1300">
        <f>AB899*AA$950</f>
        <v>0</v>
      </c>
      <c r="AB953" s="1301"/>
      <c r="AC953" s="1301"/>
      <c r="AD953" s="1301"/>
      <c r="AE953" s="1300">
        <f>AF899*AE$950</f>
        <v>0</v>
      </c>
      <c r="AF953" s="1301"/>
      <c r="AG953" s="1301"/>
      <c r="AH953" s="1301"/>
      <c r="AI953" s="1300">
        <f>AJ899*AI$950</f>
        <v>0</v>
      </c>
      <c r="AJ953" s="1301"/>
      <c r="AK953" s="1301"/>
      <c r="AL953" s="1301"/>
      <c r="AM953" s="1300">
        <f>SUM(W953:AL953)</f>
        <v>0</v>
      </c>
      <c r="AN953" s="1301"/>
      <c r="AO953" s="1301"/>
      <c r="AP953" s="1301"/>
      <c r="AQ953" s="536"/>
      <c r="AR953" s="536"/>
      <c r="AU953" s="1300">
        <f>AV899*AU$950</f>
        <v>0</v>
      </c>
      <c r="AV953" s="1301"/>
      <c r="AW953" s="1301"/>
      <c r="AX953" s="1301"/>
      <c r="AY953" s="1300">
        <f>AZ899*AY$950</f>
        <v>0</v>
      </c>
      <c r="AZ953" s="1301"/>
      <c r="BA953" s="1301"/>
      <c r="BB953" s="1301"/>
      <c r="BC953" s="1300">
        <f>BD899*BC$950</f>
        <v>0</v>
      </c>
      <c r="BD953" s="1301"/>
      <c r="BE953" s="1301"/>
      <c r="BF953" s="1301"/>
      <c r="BG953" s="1300">
        <f>BH899*BG$950</f>
        <v>0</v>
      </c>
      <c r="BH953" s="1301"/>
      <c r="BI953" s="1301"/>
      <c r="BJ953" s="1301"/>
      <c r="BK953" s="1300">
        <f>SUM(AU953:BJ953)</f>
        <v>0</v>
      </c>
      <c r="BL953" s="1301"/>
      <c r="BM953" s="1301"/>
      <c r="BN953" s="1301"/>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300">
        <f>W945*W$950</f>
        <v>0</v>
      </c>
      <c r="X954" s="1301"/>
      <c r="Y954" s="1301"/>
      <c r="Z954" s="1301"/>
      <c r="AA954" s="1300">
        <f t="shared" ref="AA954" si="244">AA945*AA$950</f>
        <v>0</v>
      </c>
      <c r="AB954" s="1301"/>
      <c r="AC954" s="1301"/>
      <c r="AD954" s="1301"/>
      <c r="AE954" s="1300">
        <f t="shared" ref="AE954" si="245">AE945*AE$950</f>
        <v>0</v>
      </c>
      <c r="AF954" s="1301"/>
      <c r="AG954" s="1301"/>
      <c r="AH954" s="1301"/>
      <c r="AI954" s="1300">
        <f t="shared" ref="AI954" si="246">AI945*AI$950</f>
        <v>0</v>
      </c>
      <c r="AJ954" s="1301"/>
      <c r="AK954" s="1301"/>
      <c r="AL954" s="1301"/>
      <c r="AM954" s="1300">
        <f t="shared" ref="AM954:AM957" si="247">SUM(W954:AL954)</f>
        <v>0</v>
      </c>
      <c r="AN954" s="1301"/>
      <c r="AO954" s="1301"/>
      <c r="AP954" s="1301"/>
      <c r="AQ954" s="536"/>
      <c r="AR954" s="536"/>
      <c r="AU954" s="1300">
        <f>AU945*AU$950</f>
        <v>0</v>
      </c>
      <c r="AV954" s="1301"/>
      <c r="AW954" s="1301"/>
      <c r="AX954" s="1301"/>
      <c r="AY954" s="1300">
        <f t="shared" ref="AY954" si="248">AY945*AY$950</f>
        <v>0</v>
      </c>
      <c r="AZ954" s="1301"/>
      <c r="BA954" s="1301"/>
      <c r="BB954" s="1301"/>
      <c r="BC954" s="1300">
        <f t="shared" ref="BC954" si="249">BC945*BC$950</f>
        <v>0</v>
      </c>
      <c r="BD954" s="1301"/>
      <c r="BE954" s="1301"/>
      <c r="BF954" s="1301"/>
      <c r="BG954" s="1300">
        <f t="shared" ref="BG954" si="250">BG945*BG$950</f>
        <v>0</v>
      </c>
      <c r="BH954" s="1301"/>
      <c r="BI954" s="1301"/>
      <c r="BJ954" s="1301"/>
      <c r="BK954" s="1300">
        <f t="shared" ref="BK954:BK957" si="251">SUM(AU954:BJ954)</f>
        <v>0</v>
      </c>
      <c r="BL954" s="1301"/>
      <c r="BM954" s="1301"/>
      <c r="BN954" s="1301"/>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300">
        <f>X904*W$950</f>
        <v>0</v>
      </c>
      <c r="X955" s="1301"/>
      <c r="Y955" s="1301"/>
      <c r="Z955" s="1301"/>
      <c r="AA955" s="1300">
        <f>AB904*AA$950</f>
        <v>0</v>
      </c>
      <c r="AB955" s="1301"/>
      <c r="AC955" s="1301"/>
      <c r="AD955" s="1301"/>
      <c r="AE955" s="1300">
        <f>AF904*AE$950</f>
        <v>0</v>
      </c>
      <c r="AF955" s="1301"/>
      <c r="AG955" s="1301"/>
      <c r="AH955" s="1301"/>
      <c r="AI955" s="1300">
        <f>AJ904*AI$950</f>
        <v>0</v>
      </c>
      <c r="AJ955" s="1301"/>
      <c r="AK955" s="1301"/>
      <c r="AL955" s="1301"/>
      <c r="AM955" s="1300">
        <f t="shared" si="247"/>
        <v>0</v>
      </c>
      <c r="AN955" s="1301"/>
      <c r="AO955" s="1301"/>
      <c r="AP955" s="1301"/>
      <c r="AQ955" s="536"/>
      <c r="AR955" s="536"/>
      <c r="AU955" s="1300">
        <f>AV904*AU$950</f>
        <v>0</v>
      </c>
      <c r="AV955" s="1301"/>
      <c r="AW955" s="1301"/>
      <c r="AX955" s="1301"/>
      <c r="AY955" s="1300">
        <f>AZ904*AY$950</f>
        <v>0</v>
      </c>
      <c r="AZ955" s="1301"/>
      <c r="BA955" s="1301"/>
      <c r="BB955" s="1301"/>
      <c r="BC955" s="1300">
        <f>BD904*BC$950</f>
        <v>0</v>
      </c>
      <c r="BD955" s="1301"/>
      <c r="BE955" s="1301"/>
      <c r="BF955" s="1301"/>
      <c r="BG955" s="1300">
        <f>BH904*BG$950</f>
        <v>0</v>
      </c>
      <c r="BH955" s="1301"/>
      <c r="BI955" s="1301"/>
      <c r="BJ955" s="1301"/>
      <c r="BK955" s="1300">
        <f t="shared" si="251"/>
        <v>0</v>
      </c>
      <c r="BL955" s="1301"/>
      <c r="BM955" s="1301"/>
      <c r="BN955" s="1301"/>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264">
        <f>IF(W955&gt;100000,-4,IF(W955&gt;10000,-3,IF(W955&gt;1000,-2,$V956)))</f>
        <v>-1</v>
      </c>
      <c r="X956" s="1265"/>
      <c r="Y956" s="1265"/>
      <c r="Z956" s="1265"/>
      <c r="AA956" s="1264">
        <f>IF(AA955&gt;100000,-4,IF(AA955&gt;10000,-3,IF(AA955&gt;1000,-2,$V956)))</f>
        <v>-1</v>
      </c>
      <c r="AB956" s="1265"/>
      <c r="AC956" s="1265"/>
      <c r="AD956" s="1265"/>
      <c r="AE956" s="1264">
        <f>IF(AE955&gt;100000,-4,IF(AE955&gt;10000,-3,IF(AE955&gt;1000,-2,$V956)))</f>
        <v>-1</v>
      </c>
      <c r="AF956" s="1265"/>
      <c r="AG956" s="1265"/>
      <c r="AH956" s="1265"/>
      <c r="AI956" s="1264">
        <f>IF(AI955&gt;100000,-4,IF(AI955&gt;10000,-3,IF(AI955&gt;1000,-2,$V956)))</f>
        <v>-1</v>
      </c>
      <c r="AJ956" s="1265"/>
      <c r="AK956" s="1265"/>
      <c r="AL956" s="1265"/>
      <c r="AM956" s="1264">
        <f t="shared" ref="AM956" si="252">IF(AM955&gt;100000,-4,IF(AM955&gt;10000,-3,IF(AM955&gt;1000,-2,-1)))</f>
        <v>-1</v>
      </c>
      <c r="AN956" s="1265"/>
      <c r="AO956" s="1265"/>
      <c r="AP956" s="1265"/>
      <c r="AQ956" s="1163"/>
      <c r="AR956" s="1163"/>
      <c r="AT956" s="495">
        <f>IF(BK955&gt;10000,-2,-1)</f>
        <v>-1</v>
      </c>
      <c r="AU956" s="1264">
        <f>IF(AU955&gt;100000,-4,IF(AU955&gt;10000,-3,IF(AU955&gt;1000,-2,$V956)))</f>
        <v>-1</v>
      </c>
      <c r="AV956" s="1265"/>
      <c r="AW956" s="1265"/>
      <c r="AX956" s="1265"/>
      <c r="AY956" s="1264">
        <f>IF(AY955&gt;100000,-4,IF(AY955&gt;10000,-3,IF(AY955&gt;1000,-2,$V956)))</f>
        <v>-1</v>
      </c>
      <c r="AZ956" s="1265"/>
      <c r="BA956" s="1265"/>
      <c r="BB956" s="1265"/>
      <c r="BC956" s="1264">
        <f>IF(BC955&gt;100000,-4,IF(BC955&gt;10000,-3,IF(BC955&gt;1000,-2,$V956)))</f>
        <v>-1</v>
      </c>
      <c r="BD956" s="1265"/>
      <c r="BE956" s="1265"/>
      <c r="BF956" s="1265"/>
      <c r="BG956" s="1264">
        <f>IF(BG955&gt;100000,-4,IF(BG955&gt;10000,-3,IF(BG955&gt;1000,-2,$V956)))</f>
        <v>-1</v>
      </c>
      <c r="BH956" s="1265"/>
      <c r="BI956" s="1265"/>
      <c r="BJ956" s="1265"/>
      <c r="BK956" s="1264">
        <f t="shared" ref="BK956" si="253">IF(BK955&gt;100000,-4,IF(BK955&gt;10000,-3,IF(BK955&gt;1000,-2,-1)))</f>
        <v>-1</v>
      </c>
      <c r="BL956" s="1265"/>
      <c r="BM956" s="1265"/>
      <c r="BN956" s="1265"/>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300">
        <f>SUM(W953:Z955)</f>
        <v>0</v>
      </c>
      <c r="X957" s="1301"/>
      <c r="Y957" s="1301"/>
      <c r="Z957" s="1301"/>
      <c r="AA957" s="1300">
        <f t="shared" ref="AA957" si="254">SUM(AA953:AD955)</f>
        <v>0</v>
      </c>
      <c r="AB957" s="1301"/>
      <c r="AC957" s="1301"/>
      <c r="AD957" s="1301"/>
      <c r="AE957" s="1300">
        <f t="shared" ref="AE957" si="255">SUM(AE953:AH955)</f>
        <v>0</v>
      </c>
      <c r="AF957" s="1301"/>
      <c r="AG957" s="1301"/>
      <c r="AH957" s="1301"/>
      <c r="AI957" s="1300">
        <f t="shared" ref="AI957" si="256">SUM(AI953:AL955)</f>
        <v>0</v>
      </c>
      <c r="AJ957" s="1301"/>
      <c r="AK957" s="1301"/>
      <c r="AL957" s="1301"/>
      <c r="AM957" s="1315">
        <f t="shared" si="247"/>
        <v>0</v>
      </c>
      <c r="AN957" s="1316"/>
      <c r="AO957" s="1316"/>
      <c r="AP957" s="1316"/>
      <c r="AQ957" s="546"/>
      <c r="AR957" s="546"/>
      <c r="AU957" s="1300">
        <f>SUM(AU953:AX955)</f>
        <v>0</v>
      </c>
      <c r="AV957" s="1301"/>
      <c r="AW957" s="1301"/>
      <c r="AX957" s="1301"/>
      <c r="AY957" s="1300">
        <f t="shared" ref="AY957" si="257">SUM(AY953:BB955)</f>
        <v>0</v>
      </c>
      <c r="AZ957" s="1301"/>
      <c r="BA957" s="1301"/>
      <c r="BB957" s="1301"/>
      <c r="BC957" s="1300">
        <f t="shared" ref="BC957" si="258">SUM(BC953:BF955)</f>
        <v>0</v>
      </c>
      <c r="BD957" s="1301"/>
      <c r="BE957" s="1301"/>
      <c r="BF957" s="1301"/>
      <c r="BG957" s="1300">
        <f t="shared" ref="BG957" si="259">SUM(BG953:BJ955)</f>
        <v>0</v>
      </c>
      <c r="BH957" s="1301"/>
      <c r="BI957" s="1301"/>
      <c r="BJ957" s="1301"/>
      <c r="BK957" s="1315">
        <f t="shared" si="251"/>
        <v>0</v>
      </c>
      <c r="BL957" s="1316"/>
      <c r="BM957" s="1316"/>
      <c r="BN957" s="1316"/>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301" t="str">
        <f>W892</f>
        <v>Primavera</v>
      </c>
      <c r="X962" s="1301"/>
      <c r="Y962" s="1301"/>
      <c r="Z962" s="1301"/>
      <c r="AA962" s="1301" t="str">
        <f>AA892</f>
        <v>Estate</v>
      </c>
      <c r="AB962" s="1301"/>
      <c r="AC962" s="1301"/>
      <c r="AD962" s="1301"/>
      <c r="AE962" s="1301" t="str">
        <f>AE892</f>
        <v>Autunno</v>
      </c>
      <c r="AF962" s="1301"/>
      <c r="AG962" s="1301"/>
      <c r="AH962" s="1301"/>
      <c r="AI962" s="1301" t="str">
        <f>AI892</f>
        <v>Inverno</v>
      </c>
      <c r="AJ962" s="1301"/>
      <c r="AK962" s="1301"/>
      <c r="AL962" s="1301"/>
      <c r="AM962" s="1301" t="str">
        <f>AN135</f>
        <v>Anno</v>
      </c>
      <c r="AN962" s="1301"/>
      <c r="AO962" s="1301"/>
      <c r="AP962" s="1301"/>
      <c r="AV962" s="1385" t="str">
        <f>W962</f>
        <v>Primavera</v>
      </c>
      <c r="AW962" s="1350"/>
      <c r="AX962" s="1350"/>
      <c r="AY962" s="27"/>
      <c r="AZ962" s="1401" t="str">
        <f>AA962</f>
        <v>Estate</v>
      </c>
      <c r="BA962" s="1436"/>
      <c r="BB962" s="1436"/>
      <c r="BC962" s="27"/>
      <c r="BD962" s="1385" t="str">
        <f>AE962</f>
        <v>Autunno</v>
      </c>
      <c r="BE962" s="1350"/>
      <c r="BF962" s="1350"/>
      <c r="BG962" s="27"/>
      <c r="BH962" s="1385" t="str">
        <f>AI962</f>
        <v>Inverno</v>
      </c>
      <c r="BI962" s="1350"/>
      <c r="BJ962" s="1350"/>
      <c r="BK962" s="27"/>
      <c r="BL962" s="1385" t="str">
        <f>AM962</f>
        <v>Anno</v>
      </c>
      <c r="BM962" s="1350"/>
      <c r="BN962" s="1350"/>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300">
        <f>W329+W342</f>
        <v>0</v>
      </c>
      <c r="X963" s="1301"/>
      <c r="Y963" s="1301"/>
      <c r="Z963" s="1301"/>
      <c r="AA963" s="1300">
        <f>AA329+AA342</f>
        <v>0</v>
      </c>
      <c r="AB963" s="1301"/>
      <c r="AC963" s="1301"/>
      <c r="AD963" s="1301"/>
      <c r="AE963" s="1300">
        <f>AE329+AE342</f>
        <v>0</v>
      </c>
      <c r="AF963" s="1301"/>
      <c r="AG963" s="1301"/>
      <c r="AH963" s="1301"/>
      <c r="AI963" s="1300">
        <f>AI329+AI342</f>
        <v>0</v>
      </c>
      <c r="AJ963" s="1301"/>
      <c r="AK963" s="1301"/>
      <c r="AL963" s="1301"/>
      <c r="AM963" s="1300">
        <f t="shared" ref="AM963" si="260">SUM(W963:AL963)</f>
        <v>0</v>
      </c>
      <c r="AN963" s="1301"/>
      <c r="AO963" s="1301"/>
      <c r="AP963" s="1301"/>
      <c r="AQ963" s="536"/>
      <c r="AR963" s="536"/>
      <c r="AU963" s="1300">
        <f>AU329+AU342</f>
        <v>0</v>
      </c>
      <c r="AV963" s="1301"/>
      <c r="AW963" s="1301"/>
      <c r="AX963" s="1301"/>
      <c r="AY963" s="1300">
        <f>AY329+AY342</f>
        <v>0</v>
      </c>
      <c r="AZ963" s="1301"/>
      <c r="BA963" s="1301"/>
      <c r="BB963" s="1301"/>
      <c r="BC963" s="1300">
        <f>BC329+BC342</f>
        <v>0</v>
      </c>
      <c r="BD963" s="1301"/>
      <c r="BE963" s="1301"/>
      <c r="BF963" s="1301"/>
      <c r="BG963" s="1300">
        <f>BG329+BG342</f>
        <v>0</v>
      </c>
      <c r="BH963" s="1301"/>
      <c r="BI963" s="1301"/>
      <c r="BJ963" s="1301"/>
      <c r="BK963" s="1300">
        <f t="shared" ref="BK963" si="261">SUM(AU963:BJ963)</f>
        <v>0</v>
      </c>
      <c r="BL963" s="1301"/>
      <c r="BM963" s="1301"/>
      <c r="BN963" s="1301"/>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7">
        <f>IF(W963&gt;100000,-4,IF(W963&gt;10000,-3,IF(W963&gt;1000,-2,$V964)))</f>
        <v>-1</v>
      </c>
      <c r="X964" s="1318"/>
      <c r="Y964" s="1318"/>
      <c r="Z964" s="1318"/>
      <c r="AA964" s="1317">
        <f>IF(AA963&gt;100000,-4,IF(AA963&gt;10000,-3,IF(AA963&gt;1000,-2,$V964)))</f>
        <v>-1</v>
      </c>
      <c r="AB964" s="1318"/>
      <c r="AC964" s="1318"/>
      <c r="AD964" s="1318"/>
      <c r="AE964" s="1317">
        <f>IF(AE963&gt;100000,-4,IF(AE963&gt;10000,-3,IF(AE963&gt;1000,-2,$V964)))</f>
        <v>-1</v>
      </c>
      <c r="AF964" s="1318"/>
      <c r="AG964" s="1318"/>
      <c r="AH964" s="1318"/>
      <c r="AI964" s="1317">
        <f>IF(AI963&gt;100000,-4,IF(AI963&gt;10000,-3,IF(AI963&gt;1000,-2,$V964)))</f>
        <v>-1</v>
      </c>
      <c r="AJ964" s="1318"/>
      <c r="AK964" s="1318"/>
      <c r="AL964" s="1318"/>
      <c r="AM964" s="1317">
        <f t="shared" ref="AM964" si="262">IF(AM963&gt;100000,-4,IF(AM963&gt;10000,-3,IF(AM963&gt;1000,-2,-1)))</f>
        <v>-1</v>
      </c>
      <c r="AN964" s="1318"/>
      <c r="AO964" s="1318"/>
      <c r="AP964" s="1318"/>
      <c r="AQ964" s="536"/>
      <c r="AR964" s="536"/>
      <c r="AT964" s="494">
        <f>IF(BK963&gt;10000,-2,-1)</f>
        <v>-1</v>
      </c>
      <c r="AU964" s="1317">
        <f>IF(AU963&gt;100000,-4,IF(AU963&gt;10000,-3,IF(AU963&gt;1000,-2,$V964)))</f>
        <v>-1</v>
      </c>
      <c r="AV964" s="1318"/>
      <c r="AW964" s="1318"/>
      <c r="AX964" s="1318"/>
      <c r="AY964" s="1317">
        <f>IF(AY963&gt;100000,-4,IF(AY963&gt;10000,-3,IF(AY963&gt;1000,-2,$V964)))</f>
        <v>-1</v>
      </c>
      <c r="AZ964" s="1318"/>
      <c r="BA964" s="1318"/>
      <c r="BB964" s="1318"/>
      <c r="BC964" s="1317">
        <f>IF(BC963&gt;100000,-4,IF(BC963&gt;10000,-3,IF(BC963&gt;1000,-2,$V964)))</f>
        <v>-1</v>
      </c>
      <c r="BD964" s="1318"/>
      <c r="BE964" s="1318"/>
      <c r="BF964" s="1318"/>
      <c r="BG964" s="1317">
        <f>IF(BG963&gt;100000,-4,IF(BG963&gt;10000,-3,IF(BG963&gt;1000,-2,$V964)))</f>
        <v>-1</v>
      </c>
      <c r="BH964" s="1318"/>
      <c r="BI964" s="1318"/>
      <c r="BJ964" s="1318"/>
      <c r="BK964" s="1317">
        <f t="shared" ref="BK964" si="263">IF(BK963&gt;100000,-4,IF(BK963&gt;10000,-3,IF(BK963&gt;1000,-2,-1)))</f>
        <v>-1</v>
      </c>
      <c r="BL964" s="1318"/>
      <c r="BM964" s="1318"/>
      <c r="BN964" s="1318"/>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300">
        <f>ROUND(W963,W964)</f>
        <v>0</v>
      </c>
      <c r="X965" s="1301"/>
      <c r="Y965" s="1301"/>
      <c r="Z965" s="1301"/>
      <c r="AA965" s="1300">
        <f>ROUND(AA963,AA964)</f>
        <v>0</v>
      </c>
      <c r="AB965" s="1301"/>
      <c r="AC965" s="1301"/>
      <c r="AD965" s="1301"/>
      <c r="AE965" s="1300">
        <f>ROUND(AE963,AE964)</f>
        <v>0</v>
      </c>
      <c r="AF965" s="1301"/>
      <c r="AG965" s="1301"/>
      <c r="AH965" s="1301"/>
      <c r="AI965" s="1300">
        <f>ROUND(AI963,AI964)</f>
        <v>0</v>
      </c>
      <c r="AJ965" s="1301"/>
      <c r="AK965" s="1301"/>
      <c r="AL965" s="1301"/>
      <c r="AM965" s="1300">
        <f>ROUND(AM963,AM964)</f>
        <v>0</v>
      </c>
      <c r="AN965" s="1301"/>
      <c r="AO965" s="1301"/>
      <c r="AP965" s="1301"/>
      <c r="AT965" s="494"/>
      <c r="AU965" s="1300">
        <f>ROUND(AU963,AU964)</f>
        <v>0</v>
      </c>
      <c r="AV965" s="1301"/>
      <c r="AW965" s="1301"/>
      <c r="AX965" s="1301"/>
      <c r="AY965" s="1300">
        <f>ROUND(AY963,AY964)</f>
        <v>0</v>
      </c>
      <c r="AZ965" s="1301"/>
      <c r="BA965" s="1301"/>
      <c r="BB965" s="1301"/>
      <c r="BC965" s="1300">
        <f>ROUND(BC963,BC964)</f>
        <v>0</v>
      </c>
      <c r="BD965" s="1301"/>
      <c r="BE965" s="1301"/>
      <c r="BF965" s="1301"/>
      <c r="BG965" s="1300">
        <f>ROUND(BG963,BG964)</f>
        <v>0</v>
      </c>
      <c r="BH965" s="1301"/>
      <c r="BI965" s="1301"/>
      <c r="BJ965" s="1301"/>
      <c r="BK965" s="1300">
        <f>ROUND(BK963,BK964)</f>
        <v>0</v>
      </c>
      <c r="BL965" s="1301"/>
      <c r="BM965" s="1301"/>
      <c r="BN965" s="1301"/>
      <c r="BQ965" s="201"/>
    </row>
    <row r="966" spans="5:124" hidden="1" outlineLevel="1" x14ac:dyDescent="0.15">
      <c r="I966" t="s">
        <v>900</v>
      </c>
      <c r="T966" s="27" t="s">
        <v>176</v>
      </c>
      <c r="V966" s="494"/>
      <c r="W966" s="1300">
        <f>IF(W957&gt;W963,W963,W957)</f>
        <v>0</v>
      </c>
      <c r="X966" s="1301"/>
      <c r="Y966" s="1301"/>
      <c r="Z966" s="1301"/>
      <c r="AA966" s="1300">
        <f>IF(AA957&gt;AA963,AA963,AA957)</f>
        <v>0</v>
      </c>
      <c r="AB966" s="1301"/>
      <c r="AC966" s="1301"/>
      <c r="AD966" s="1301"/>
      <c r="AE966" s="1300">
        <f>IF(AE957&gt;AE963,AE963,AE957)</f>
        <v>0</v>
      </c>
      <c r="AF966" s="1301"/>
      <c r="AG966" s="1301"/>
      <c r="AH966" s="1301"/>
      <c r="AI966" s="1300">
        <f>IF(AI957&gt;AI963,AI963,AI957)</f>
        <v>0</v>
      </c>
      <c r="AJ966" s="1301"/>
      <c r="AK966" s="1301"/>
      <c r="AL966" s="1301"/>
      <c r="AM966" s="1300">
        <f>SUM(W966:AL966)</f>
        <v>0</v>
      </c>
      <c r="AN966" s="1301"/>
      <c r="AO966" s="1301"/>
      <c r="AP966" s="1301"/>
      <c r="AT966" s="494"/>
      <c r="AU966" s="1300">
        <f>IF(AU957&gt;AU963,AU963,AU957)</f>
        <v>0</v>
      </c>
      <c r="AV966" s="1301"/>
      <c r="AW966" s="1301"/>
      <c r="AX966" s="1301"/>
      <c r="AY966" s="1300">
        <f>IF(AY957&gt;AY963,AY963,AY957)</f>
        <v>0</v>
      </c>
      <c r="AZ966" s="1301"/>
      <c r="BA966" s="1301"/>
      <c r="BB966" s="1301"/>
      <c r="BC966" s="1300">
        <f>IF(BC957&gt;BC963,BC963,BC957)</f>
        <v>0</v>
      </c>
      <c r="BD966" s="1301"/>
      <c r="BE966" s="1301"/>
      <c r="BF966" s="1301"/>
      <c r="BG966" s="1300">
        <f>IF(BG957&gt;BG963,BG963,BG957)</f>
        <v>0</v>
      </c>
      <c r="BH966" s="1301"/>
      <c r="BI966" s="1301"/>
      <c r="BJ966" s="1301"/>
      <c r="BK966" s="1300">
        <f>SUM(AU966:BJ966)</f>
        <v>0</v>
      </c>
      <c r="BL966" s="1301"/>
      <c r="BM966" s="1301"/>
      <c r="BN966" s="1301"/>
      <c r="BQ966" s="201"/>
    </row>
    <row r="967" spans="5:124" s="494" customFormat="1" ht="16" hidden="1" customHeight="1" outlineLevel="2" x14ac:dyDescent="0.15">
      <c r="E967" s="879"/>
      <c r="G967" s="493"/>
      <c r="K967" s="494" t="s">
        <v>214</v>
      </c>
      <c r="U967" s="496"/>
      <c r="V967" s="494">
        <f>IF(AM966&gt;10000,-2,-1)</f>
        <v>-1</v>
      </c>
      <c r="W967" s="1317">
        <f>IF(W966&gt;100000,-4,IF(W966&gt;10000,-3,IF(W966&gt;1000,-2,$V967)))</f>
        <v>-1</v>
      </c>
      <c r="X967" s="1318"/>
      <c r="Y967" s="1318"/>
      <c r="Z967" s="1318"/>
      <c r="AA967" s="1317">
        <f>IF(AA966&gt;100000,-4,IF(AA966&gt;10000,-3,IF(AA966&gt;1000,-2,$V967)))</f>
        <v>-1</v>
      </c>
      <c r="AB967" s="1318"/>
      <c r="AC967" s="1318"/>
      <c r="AD967" s="1318"/>
      <c r="AE967" s="1317">
        <f>IF(AE966&gt;100000,-4,IF(AE966&gt;10000,-3,IF(AE966&gt;1000,-2,$V967)))</f>
        <v>-1</v>
      </c>
      <c r="AF967" s="1318"/>
      <c r="AG967" s="1318"/>
      <c r="AH967" s="1318"/>
      <c r="AI967" s="1317">
        <f>IF(AI966&gt;100000,-4,IF(AI966&gt;10000,-3,IF(AI966&gt;1000,-2,$V967)))</f>
        <v>-1</v>
      </c>
      <c r="AJ967" s="1318"/>
      <c r="AK967" s="1318"/>
      <c r="AL967" s="1318"/>
      <c r="AM967" s="1317">
        <f t="shared" ref="AM967" si="264">IF(AM966&gt;100000,-4,IF(AM966&gt;10000,-3,IF(AM966&gt;1000,-2,-1)))</f>
        <v>-1</v>
      </c>
      <c r="AN967" s="1318"/>
      <c r="AO967" s="1318"/>
      <c r="AP967" s="1318"/>
      <c r="AQ967" s="536"/>
      <c r="AR967" s="536"/>
      <c r="AT967" s="494">
        <f>IF(BK966&gt;10000,-2,-1)</f>
        <v>-1</v>
      </c>
      <c r="AU967" s="1317">
        <f>IF(AU966&gt;100000,-4,IF(AU966&gt;10000,-3,IF(AU966&gt;1000,-2,$V967)))</f>
        <v>-1</v>
      </c>
      <c r="AV967" s="1318"/>
      <c r="AW967" s="1318"/>
      <c r="AX967" s="1318"/>
      <c r="AY967" s="1317">
        <f>IF(AY966&gt;100000,-4,IF(AY966&gt;10000,-3,IF(AY966&gt;1000,-2,$V967)))</f>
        <v>-1</v>
      </c>
      <c r="AZ967" s="1318"/>
      <c r="BA967" s="1318"/>
      <c r="BB967" s="1318"/>
      <c r="BC967" s="1317">
        <f>IF(BC966&gt;100000,-4,IF(BC966&gt;10000,-3,IF(BC966&gt;1000,-2,$V967)))</f>
        <v>-1</v>
      </c>
      <c r="BD967" s="1318"/>
      <c r="BE967" s="1318"/>
      <c r="BF967" s="1318"/>
      <c r="BG967" s="1317">
        <f>IF(BG966&gt;100000,-4,IF(BG966&gt;10000,-3,IF(BG966&gt;1000,-2,$V967)))</f>
        <v>-1</v>
      </c>
      <c r="BH967" s="1318"/>
      <c r="BI967" s="1318"/>
      <c r="BJ967" s="1318"/>
      <c r="BK967" s="1317">
        <f t="shared" ref="BK967" si="265">IF(BK966&gt;100000,-4,IF(BK966&gt;10000,-3,IF(BK966&gt;1000,-2,-1)))</f>
        <v>-1</v>
      </c>
      <c r="BL967" s="1318"/>
      <c r="BM967" s="1318"/>
      <c r="BN967" s="1318"/>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300">
        <f>ROUND(W966,W967)</f>
        <v>0</v>
      </c>
      <c r="X968" s="1301"/>
      <c r="Y968" s="1301"/>
      <c r="Z968" s="1301"/>
      <c r="AA968" s="1300">
        <f>ROUND(AA966,AA967)</f>
        <v>0</v>
      </c>
      <c r="AB968" s="1301"/>
      <c r="AC968" s="1301"/>
      <c r="AD968" s="1301"/>
      <c r="AE968" s="1300">
        <f>ROUND(AE966,AE967)</f>
        <v>0</v>
      </c>
      <c r="AF968" s="1301"/>
      <c r="AG968" s="1301"/>
      <c r="AH968" s="1301"/>
      <c r="AI968" s="1300">
        <f>ROUND(AI966,AI967)</f>
        <v>0</v>
      </c>
      <c r="AJ968" s="1301"/>
      <c r="AK968" s="1301"/>
      <c r="AL968" s="1301"/>
      <c r="AM968" s="1300">
        <f>ROUND(AM966,AM967)</f>
        <v>0</v>
      </c>
      <c r="AN968" s="1301"/>
      <c r="AO968" s="1301"/>
      <c r="AP968" s="1301"/>
      <c r="AT968" s="494"/>
      <c r="AU968" s="1300">
        <f>ROUND(AU966,AU967)</f>
        <v>0</v>
      </c>
      <c r="AV968" s="1301"/>
      <c r="AW968" s="1301"/>
      <c r="AX968" s="1301"/>
      <c r="AY968" s="1300">
        <f>ROUND(AY966,AY967)</f>
        <v>0</v>
      </c>
      <c r="AZ968" s="1301"/>
      <c r="BA968" s="1301"/>
      <c r="BB968" s="1301"/>
      <c r="BC968" s="1300">
        <f>ROUND(BC966,BC967)</f>
        <v>0</v>
      </c>
      <c r="BD968" s="1301"/>
      <c r="BE968" s="1301"/>
      <c r="BF968" s="1301"/>
      <c r="BG968" s="1300">
        <f>ROUND(BG966,BG967)</f>
        <v>0</v>
      </c>
      <c r="BH968" s="1301"/>
      <c r="BI968" s="1301"/>
      <c r="BJ968" s="1301"/>
      <c r="BK968" s="1300">
        <f>ROUND(BK966,BK967)</f>
        <v>0</v>
      </c>
      <c r="BL968" s="1301"/>
      <c r="BM968" s="1301"/>
      <c r="BN968" s="1301"/>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300">
        <f>AN217</f>
        <v>0</v>
      </c>
      <c r="X970" s="1301"/>
      <c r="Y970" s="1301"/>
      <c r="Z970" s="1301"/>
      <c r="AA970" s="1300">
        <f>W970</f>
        <v>0</v>
      </c>
      <c r="AB970" s="1301"/>
      <c r="AC970" s="1301"/>
      <c r="AD970" s="1301"/>
      <c r="AE970" s="1300">
        <f>W970</f>
        <v>0</v>
      </c>
      <c r="AF970" s="1301"/>
      <c r="AG970" s="1301"/>
      <c r="AH970" s="1301"/>
      <c r="AI970" s="1300">
        <f>W970</f>
        <v>0</v>
      </c>
      <c r="AJ970" s="1301"/>
      <c r="AK970" s="1301"/>
      <c r="AL970" s="1301"/>
      <c r="AN970" s="1319">
        <f>MAX(W970:AL970)</f>
        <v>0</v>
      </c>
      <c r="AO970" s="1319"/>
      <c r="AP970" s="1319"/>
      <c r="AQ970" t="s">
        <v>848</v>
      </c>
      <c r="AU970" s="1300">
        <f>BL217</f>
        <v>0</v>
      </c>
      <c r="AV970" s="1301"/>
      <c r="AW970" s="1301"/>
      <c r="AX970" s="1301"/>
      <c r="AY970" s="1300">
        <f>AU970</f>
        <v>0</v>
      </c>
      <c r="AZ970" s="1301"/>
      <c r="BA970" s="1301"/>
      <c r="BB970" s="1301"/>
      <c r="BC970" s="1300">
        <f>AU970</f>
        <v>0</v>
      </c>
      <c r="BD970" s="1301"/>
      <c r="BE970" s="1301"/>
      <c r="BF970" s="1301"/>
      <c r="BG970" s="1300">
        <f>AU970</f>
        <v>0</v>
      </c>
      <c r="BH970" s="1301"/>
      <c r="BI970" s="1301"/>
      <c r="BJ970" s="1301"/>
      <c r="BL970" s="1319">
        <f>MAX(AU970:BJ970)</f>
        <v>0</v>
      </c>
      <c r="BM970" s="1319"/>
      <c r="BN970" s="1319"/>
      <c r="BO970" t="s">
        <v>848</v>
      </c>
      <c r="BQ970" s="201"/>
    </row>
    <row r="971" spans="5:124" hidden="1" outlineLevel="1" x14ac:dyDescent="0.15">
      <c r="I971" t="s">
        <v>905</v>
      </c>
      <c r="T971" t="s">
        <v>85</v>
      </c>
      <c r="W971" s="1300">
        <f>X147</f>
        <v>0</v>
      </c>
      <c r="X971" s="1301"/>
      <c r="Y971" s="1301"/>
      <c r="Z971" s="1301"/>
      <c r="AA971" s="1300">
        <f>AB147</f>
        <v>0</v>
      </c>
      <c r="AB971" s="1301"/>
      <c r="AC971" s="1301"/>
      <c r="AD971" s="1301"/>
      <c r="AE971" s="1300">
        <f>AF147</f>
        <v>0</v>
      </c>
      <c r="AF971" s="1301"/>
      <c r="AG971" s="1301"/>
      <c r="AH971" s="1301"/>
      <c r="AI971" s="1300">
        <f>AJ147</f>
        <v>0</v>
      </c>
      <c r="AJ971" s="1301"/>
      <c r="AK971" s="1301"/>
      <c r="AL971" s="1301"/>
      <c r="AU971" s="1300">
        <f>AV147</f>
        <v>0</v>
      </c>
      <c r="AV971" s="1301"/>
      <c r="AW971" s="1301"/>
      <c r="AX971" s="1301"/>
      <c r="AY971" s="1300">
        <f>AZ147</f>
        <v>0</v>
      </c>
      <c r="AZ971" s="1301"/>
      <c r="BA971" s="1301"/>
      <c r="BB971" s="1301"/>
      <c r="BC971" s="1300">
        <f>BD147</f>
        <v>0</v>
      </c>
      <c r="BD971" s="1301"/>
      <c r="BE971" s="1301"/>
      <c r="BF971" s="1301"/>
      <c r="BG971" s="1300">
        <f>BH147</f>
        <v>0</v>
      </c>
      <c r="BH971" s="1301"/>
      <c r="BI971" s="1301"/>
      <c r="BJ971" s="1301"/>
      <c r="BQ971" s="201"/>
    </row>
    <row r="972" spans="5:124" hidden="1" outlineLevel="1" x14ac:dyDescent="0.15">
      <c r="I972" t="s">
        <v>877</v>
      </c>
      <c r="T972" t="s">
        <v>878</v>
      </c>
      <c r="W972" s="1300">
        <f>IF(W971&gt;W970,0,W970-W971)</f>
        <v>0</v>
      </c>
      <c r="X972" s="1301"/>
      <c r="Y972" s="1301"/>
      <c r="Z972" s="1301"/>
      <c r="AA972" s="1300">
        <f t="shared" ref="AA972" si="266">IF(AA971&gt;AA970,0,AA970-AA971)</f>
        <v>0</v>
      </c>
      <c r="AB972" s="1301"/>
      <c r="AC972" s="1301"/>
      <c r="AD972" s="1301"/>
      <c r="AE972" s="1300">
        <f t="shared" ref="AE972" si="267">IF(AE971&gt;AE970,0,AE970-AE971)</f>
        <v>0</v>
      </c>
      <c r="AF972" s="1301"/>
      <c r="AG972" s="1301"/>
      <c r="AH972" s="1301"/>
      <c r="AI972" s="1300">
        <f t="shared" ref="AI972" si="268">IF(AI971&gt;AI970,0,AI970-AI971)</f>
        <v>0</v>
      </c>
      <c r="AJ972" s="1301"/>
      <c r="AK972" s="1301"/>
      <c r="AL972" s="1301"/>
      <c r="AN972" s="1319">
        <f>AVERAGE(W972:AL972)</f>
        <v>0</v>
      </c>
      <c r="AO972" s="1320"/>
      <c r="AP972" s="1320"/>
      <c r="AQ972" t="s">
        <v>921</v>
      </c>
      <c r="AU972" s="1300">
        <f>IF(AU971&gt;AU970,0,AU970-AU971)</f>
        <v>0</v>
      </c>
      <c r="AV972" s="1301"/>
      <c r="AW972" s="1301"/>
      <c r="AX972" s="1301"/>
      <c r="AY972" s="1300">
        <f t="shared" ref="AY972" si="269">IF(AY971&gt;AY970,0,AY970-AY971)</f>
        <v>0</v>
      </c>
      <c r="AZ972" s="1301"/>
      <c r="BA972" s="1301"/>
      <c r="BB972" s="1301"/>
      <c r="BC972" s="1300">
        <f t="shared" ref="BC972" si="270">IF(BC971&gt;BC970,0,BC970-BC971)</f>
        <v>0</v>
      </c>
      <c r="BD972" s="1301"/>
      <c r="BE972" s="1301"/>
      <c r="BF972" s="1301"/>
      <c r="BG972" s="1300">
        <f t="shared" ref="BG972" si="271">IF(BG971&gt;BG970,0,BG970-BG971)</f>
        <v>0</v>
      </c>
      <c r="BH972" s="1301"/>
      <c r="BI972" s="1301"/>
      <c r="BJ972" s="1301"/>
      <c r="BL972" s="1319">
        <f>AVERAGE(AU972:BJ972)</f>
        <v>0</v>
      </c>
      <c r="BM972" s="1320"/>
      <c r="BN972" s="1320"/>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52">
        <v>2.5000000000000001E-2</v>
      </c>
      <c r="X974" s="1352"/>
      <c r="Y974" s="1352"/>
      <c r="Z974" s="1352"/>
      <c r="AA974" s="1352">
        <v>2.5000000000000001E-2</v>
      </c>
      <c r="AB974" s="1352"/>
      <c r="AC974" s="1352"/>
      <c r="AD974" s="1352"/>
      <c r="AE974" s="1352">
        <v>2.5000000000000001E-2</v>
      </c>
      <c r="AF974" s="1352"/>
      <c r="AG974" s="1352"/>
      <c r="AH974" s="1352"/>
      <c r="AI974" s="1352">
        <v>2.5000000000000001E-2</v>
      </c>
      <c r="AJ974" s="1352"/>
      <c r="AK974" s="1352"/>
      <c r="AL974" s="1352"/>
      <c r="AU974" s="1352">
        <v>2.5000000000000001E-2</v>
      </c>
      <c r="AV974" s="1352"/>
      <c r="AW974" s="1352"/>
      <c r="AX974" s="1352"/>
      <c r="AY974" s="1352">
        <v>2.5000000000000001E-2</v>
      </c>
      <c r="AZ974" s="1352"/>
      <c r="BA974" s="1352"/>
      <c r="BB974" s="1352"/>
      <c r="BC974" s="1352">
        <v>2.5000000000000001E-2</v>
      </c>
      <c r="BD974" s="1352"/>
      <c r="BE974" s="1352"/>
      <c r="BF974" s="1352"/>
      <c r="BG974" s="1352">
        <v>2.5000000000000001E-2</v>
      </c>
      <c r="BH974" s="1352"/>
      <c r="BI974" s="1352"/>
      <c r="BJ974" s="1352"/>
      <c r="BQ974" s="201"/>
      <c r="CA974" s="63" t="s">
        <v>917</v>
      </c>
    </row>
    <row r="975" spans="5:124" hidden="1" outlineLevel="1" x14ac:dyDescent="0.15">
      <c r="I975" t="s">
        <v>823</v>
      </c>
      <c r="T975" t="s">
        <v>28</v>
      </c>
      <c r="W975" s="1324">
        <f>W972*W974</f>
        <v>0</v>
      </c>
      <c r="X975" s="1324"/>
      <c r="Y975" s="1324"/>
      <c r="Z975" s="1324"/>
      <c r="AA975" s="1324">
        <f>AA972*AA974</f>
        <v>0</v>
      </c>
      <c r="AB975" s="1324"/>
      <c r="AC975" s="1324"/>
      <c r="AD975" s="1324"/>
      <c r="AE975" s="1324">
        <f>AE972*AE974</f>
        <v>0</v>
      </c>
      <c r="AF975" s="1324"/>
      <c r="AG975" s="1324"/>
      <c r="AH975" s="1324"/>
      <c r="AI975" s="1324">
        <f>AI972*AI974</f>
        <v>0</v>
      </c>
      <c r="AJ975" s="1324"/>
      <c r="AK975" s="1324"/>
      <c r="AL975" s="1324"/>
      <c r="AU975" s="1324">
        <f>AU972*AU974</f>
        <v>0</v>
      </c>
      <c r="AV975" s="1324"/>
      <c r="AW975" s="1324"/>
      <c r="AX975" s="1324"/>
      <c r="AY975" s="1324">
        <f>AY972*AY974</f>
        <v>0</v>
      </c>
      <c r="AZ975" s="1324"/>
      <c r="BA975" s="1324"/>
      <c r="BB975" s="1324"/>
      <c r="BC975" s="1324">
        <f>BC972*BC974</f>
        <v>0</v>
      </c>
      <c r="BD975" s="1324"/>
      <c r="BE975" s="1324"/>
      <c r="BF975" s="1324"/>
      <c r="BG975" s="1324">
        <f>BG972*BG974</f>
        <v>0</v>
      </c>
      <c r="BH975" s="1324"/>
      <c r="BI975" s="1324"/>
      <c r="BJ975" s="1324"/>
      <c r="BQ975" s="201"/>
    </row>
    <row r="976" spans="5:124" hidden="1" outlineLevel="1" x14ac:dyDescent="0.15">
      <c r="I976" t="s">
        <v>807</v>
      </c>
      <c r="T976" t="s">
        <v>28</v>
      </c>
      <c r="W976" s="1324">
        <f>IF(W963=0,0,W968/W963)</f>
        <v>0</v>
      </c>
      <c r="X976" s="1324"/>
      <c r="Y976" s="1324"/>
      <c r="Z976" s="1324"/>
      <c r="AA976" s="1324">
        <f>IF(AA963=0,0,AA968/AA963)</f>
        <v>0</v>
      </c>
      <c r="AB976" s="1324"/>
      <c r="AC976" s="1324"/>
      <c r="AD976" s="1324"/>
      <c r="AE976" s="1324">
        <f>IF(AE963=0,0,AE968/AE963)</f>
        <v>0</v>
      </c>
      <c r="AF976" s="1324"/>
      <c r="AG976" s="1324"/>
      <c r="AH976" s="1324"/>
      <c r="AI976" s="1324">
        <f>IF(AI963=0,0,AI968/AI963)</f>
        <v>0</v>
      </c>
      <c r="AJ976" s="1324"/>
      <c r="AK976" s="1324"/>
      <c r="AL976" s="1324"/>
      <c r="AN976" s="1515">
        <f>AVERAGE(W976:AL976)</f>
        <v>0</v>
      </c>
      <c r="AO976" s="1515"/>
      <c r="AP976" s="1515"/>
      <c r="AU976" s="1324">
        <f>IF(AU963=0,0,AU968/AU963)</f>
        <v>0</v>
      </c>
      <c r="AV976" s="1324"/>
      <c r="AW976" s="1324"/>
      <c r="AX976" s="1324"/>
      <c r="AY976" s="1324">
        <f>IF(AY963=0,0,AY968/AY963)</f>
        <v>0</v>
      </c>
      <c r="AZ976" s="1324"/>
      <c r="BA976" s="1324"/>
      <c r="BB976" s="1324"/>
      <c r="BC976" s="1324">
        <f>IF(BC963=0,0,BC968/BC963)</f>
        <v>0</v>
      </c>
      <c r="BD976" s="1324"/>
      <c r="BE976" s="1324"/>
      <c r="BF976" s="1324"/>
      <c r="BG976" s="1324">
        <f>IF(BG963=0,0,BG968/BG963)</f>
        <v>0</v>
      </c>
      <c r="BH976" s="1324"/>
      <c r="BI976" s="1324"/>
      <c r="BJ976" s="1324"/>
      <c r="BL976" s="1515">
        <f>AVERAGE(AU976:BJ976)</f>
        <v>0</v>
      </c>
      <c r="BM976" s="1515"/>
      <c r="BN976" s="1515"/>
      <c r="BQ976" s="201"/>
    </row>
    <row r="977" spans="5:124" hidden="1" outlineLevel="1" x14ac:dyDescent="0.15">
      <c r="I977" t="s">
        <v>907</v>
      </c>
      <c r="T977" s="511" t="s">
        <v>28</v>
      </c>
      <c r="U977" s="511"/>
      <c r="V977" s="543"/>
      <c r="W977" s="1324">
        <f>W975*W976</f>
        <v>0</v>
      </c>
      <c r="X977" s="1324"/>
      <c r="Y977" s="1324"/>
      <c r="Z977" s="1324"/>
      <c r="AA977" s="1324">
        <f>AA975*AA976</f>
        <v>0</v>
      </c>
      <c r="AB977" s="1324"/>
      <c r="AC977" s="1324"/>
      <c r="AD977" s="1324"/>
      <c r="AE977" s="1324">
        <f>AE975*AE976</f>
        <v>0</v>
      </c>
      <c r="AF977" s="1324"/>
      <c r="AG977" s="1324"/>
      <c r="AH977" s="1324"/>
      <c r="AI977" s="1324">
        <f>AI975*AI976</f>
        <v>0</v>
      </c>
      <c r="AJ977" s="1324"/>
      <c r="AK977" s="1324"/>
      <c r="AL977" s="1324"/>
      <c r="AM977" s="550"/>
      <c r="AN977" s="551"/>
      <c r="AO977" s="551"/>
      <c r="AP977" s="551"/>
      <c r="AT977" s="543"/>
      <c r="AU977" s="1324">
        <f>AU975*AU976</f>
        <v>0</v>
      </c>
      <c r="AV977" s="1324"/>
      <c r="AW977" s="1324"/>
      <c r="AX977" s="1324"/>
      <c r="AY977" s="1324">
        <f>AY975*AY976</f>
        <v>0</v>
      </c>
      <c r="AZ977" s="1324"/>
      <c r="BA977" s="1324"/>
      <c r="BB977" s="1324"/>
      <c r="BC977" s="1324">
        <f>BC975*BC976</f>
        <v>0</v>
      </c>
      <c r="BD977" s="1324"/>
      <c r="BE977" s="1324"/>
      <c r="BF977" s="1324"/>
      <c r="BG977" s="1324">
        <f>BG975*BG976</f>
        <v>0</v>
      </c>
      <c r="BH977" s="1324"/>
      <c r="BI977" s="1324"/>
      <c r="BJ977" s="1324"/>
      <c r="BK977" s="550"/>
      <c r="BL977" s="551"/>
      <c r="BM977" s="551"/>
      <c r="BN977" s="551"/>
      <c r="BQ977" s="201"/>
    </row>
    <row r="978" spans="5:124" hidden="1" outlineLevel="1" x14ac:dyDescent="0.15">
      <c r="I978" t="s">
        <v>908</v>
      </c>
      <c r="T978" s="511" t="s">
        <v>176</v>
      </c>
      <c r="U978" s="511"/>
      <c r="V978" s="543"/>
      <c r="W978" s="1315">
        <f>W342*W977</f>
        <v>0</v>
      </c>
      <c r="X978" s="1316"/>
      <c r="Y978" s="1316"/>
      <c r="Z978" s="1316"/>
      <c r="AA978" s="1315">
        <f>AA342*AA977</f>
        <v>0</v>
      </c>
      <c r="AB978" s="1316"/>
      <c r="AC978" s="1316"/>
      <c r="AD978" s="1316"/>
      <c r="AE978" s="1315">
        <f>AE342*AE977</f>
        <v>0</v>
      </c>
      <c r="AF978" s="1316"/>
      <c r="AG978" s="1316"/>
      <c r="AH978" s="1316"/>
      <c r="AI978" s="1315">
        <f>AI342*AI977</f>
        <v>0</v>
      </c>
      <c r="AJ978" s="1316"/>
      <c r="AK978" s="1316"/>
      <c r="AL978" s="1316"/>
      <c r="AM978" s="1315">
        <f>SUM(W978:AL978)</f>
        <v>0</v>
      </c>
      <c r="AN978" s="1316"/>
      <c r="AO978" s="1316"/>
      <c r="AP978" s="1316"/>
      <c r="AT978" s="543"/>
      <c r="AU978" s="1315">
        <f>AU342*AU977</f>
        <v>0</v>
      </c>
      <c r="AV978" s="1316"/>
      <c r="AW978" s="1316"/>
      <c r="AX978" s="1316"/>
      <c r="AY978" s="1315">
        <f>AY342*AY977</f>
        <v>0</v>
      </c>
      <c r="AZ978" s="1316"/>
      <c r="BA978" s="1316"/>
      <c r="BB978" s="1316"/>
      <c r="BC978" s="1315">
        <f>BC342*BC977</f>
        <v>0</v>
      </c>
      <c r="BD978" s="1316"/>
      <c r="BE978" s="1316"/>
      <c r="BF978" s="1316"/>
      <c r="BG978" s="1315">
        <f>BG342*BG977</f>
        <v>0</v>
      </c>
      <c r="BH978" s="1316"/>
      <c r="BI978" s="1316"/>
      <c r="BJ978" s="1316"/>
      <c r="BK978" s="1315">
        <f>SUM(AU978:BJ978)</f>
        <v>0</v>
      </c>
      <c r="BL978" s="1316"/>
      <c r="BM978" s="1316"/>
      <c r="BN978" s="1316"/>
      <c r="BQ978" s="201"/>
    </row>
    <row r="979" spans="5:124" s="494" customFormat="1" ht="16" hidden="1" customHeight="1" outlineLevel="2" x14ac:dyDescent="0.15">
      <c r="E979" s="879"/>
      <c r="G979" s="493"/>
      <c r="K979" s="494" t="s">
        <v>214</v>
      </c>
      <c r="U979" s="496"/>
      <c r="W979" s="1317">
        <f>IF(W978&gt;100000,-4,IF(W978&gt;10000,-3,IF(W978&gt;1000,-2,-1)))</f>
        <v>-1</v>
      </c>
      <c r="X979" s="1318"/>
      <c r="Y979" s="1318"/>
      <c r="Z979" s="1318"/>
      <c r="AA979" s="1317">
        <f t="shared" ref="AA979" si="272">IF(AA978&gt;100000,-4,IF(AA978&gt;10000,-3,IF(AA978&gt;1000,-2,-1)))</f>
        <v>-1</v>
      </c>
      <c r="AB979" s="1318"/>
      <c r="AC979" s="1318"/>
      <c r="AD979" s="1318"/>
      <c r="AE979" s="1317">
        <f t="shared" ref="AE979" si="273">IF(AE978&gt;100000,-4,IF(AE978&gt;10000,-3,IF(AE978&gt;1000,-2,-1)))</f>
        <v>-1</v>
      </c>
      <c r="AF979" s="1318"/>
      <c r="AG979" s="1318"/>
      <c r="AH979" s="1318"/>
      <c r="AI979" s="1317">
        <f t="shared" ref="AI979" si="274">IF(AI978&gt;100000,-4,IF(AI978&gt;10000,-3,IF(AI978&gt;1000,-2,-1)))</f>
        <v>-1</v>
      </c>
      <c r="AJ979" s="1318"/>
      <c r="AK979" s="1318"/>
      <c r="AL979" s="1318"/>
      <c r="AM979" s="1317">
        <f t="shared" ref="AM979" si="275">IF(AM978&gt;100000,-4,IF(AM978&gt;10000,-3,IF(AM978&gt;1000,-2,-1)))</f>
        <v>-1</v>
      </c>
      <c r="AN979" s="1318"/>
      <c r="AO979" s="1318"/>
      <c r="AP979" s="1318"/>
      <c r="AQ979" s="536"/>
      <c r="AR979" s="536"/>
      <c r="AU979" s="1317">
        <f>IF(AU978&gt;100000,-4,IF(AU978&gt;10000,-3,IF(AU978&gt;1000,-2,-1)))</f>
        <v>-1</v>
      </c>
      <c r="AV979" s="1318"/>
      <c r="AW979" s="1318"/>
      <c r="AX979" s="1318"/>
      <c r="AY979" s="1317">
        <f t="shared" ref="AY979" si="276">IF(AY978&gt;100000,-4,IF(AY978&gt;10000,-3,IF(AY978&gt;1000,-2,-1)))</f>
        <v>-1</v>
      </c>
      <c r="AZ979" s="1318"/>
      <c r="BA979" s="1318"/>
      <c r="BB979" s="1318"/>
      <c r="BC979" s="1317">
        <f t="shared" ref="BC979" si="277">IF(BC978&gt;100000,-4,IF(BC978&gt;10000,-3,IF(BC978&gt;1000,-2,-1)))</f>
        <v>-1</v>
      </c>
      <c r="BD979" s="1318"/>
      <c r="BE979" s="1318"/>
      <c r="BF979" s="1318"/>
      <c r="BG979" s="1317">
        <f t="shared" ref="BG979" si="278">IF(BG978&gt;100000,-4,IF(BG978&gt;10000,-3,IF(BG978&gt;1000,-2,-1)))</f>
        <v>-1</v>
      </c>
      <c r="BH979" s="1318"/>
      <c r="BI979" s="1318"/>
      <c r="BJ979" s="1318"/>
      <c r="BK979" s="1317">
        <f t="shared" ref="BK979" si="279">IF(BK978&gt;100000,-4,IF(BK978&gt;10000,-3,IF(BK978&gt;1000,-2,-1)))</f>
        <v>-1</v>
      </c>
      <c r="BL979" s="1318"/>
      <c r="BM979" s="1318"/>
      <c r="BN979" s="1318"/>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315">
        <f>ROUND(W978,W979)</f>
        <v>0</v>
      </c>
      <c r="X980" s="1316"/>
      <c r="Y980" s="1316"/>
      <c r="Z980" s="1316"/>
      <c r="AA980" s="1315">
        <f>ROUND(AA978,AA979)</f>
        <v>0</v>
      </c>
      <c r="AB980" s="1316"/>
      <c r="AC980" s="1316"/>
      <c r="AD980" s="1316"/>
      <c r="AE980" s="1315">
        <f>ROUND(AE978,AE979)</f>
        <v>0</v>
      </c>
      <c r="AF980" s="1316"/>
      <c r="AG980" s="1316"/>
      <c r="AH980" s="1316"/>
      <c r="AI980" s="1315">
        <f>ROUND(AI978,AI979)</f>
        <v>0</v>
      </c>
      <c r="AJ980" s="1316"/>
      <c r="AK980" s="1316"/>
      <c r="AL980" s="1316"/>
      <c r="AM980" s="1315">
        <f>ROUND(AM978,AM979)</f>
        <v>0</v>
      </c>
      <c r="AN980" s="1316"/>
      <c r="AO980" s="1316"/>
      <c r="AP980" s="1316"/>
      <c r="AT980" s="543"/>
      <c r="AU980" s="1315">
        <f>ROUND(AU978,AU979)</f>
        <v>0</v>
      </c>
      <c r="AV980" s="1316"/>
      <c r="AW980" s="1316"/>
      <c r="AX980" s="1316"/>
      <c r="AY980" s="1315">
        <f>ROUND(AY978,AY979)</f>
        <v>0</v>
      </c>
      <c r="AZ980" s="1316"/>
      <c r="BA980" s="1316"/>
      <c r="BB980" s="1316"/>
      <c r="BC980" s="1315">
        <f>ROUND(BC978,BC979)</f>
        <v>0</v>
      </c>
      <c r="BD980" s="1316"/>
      <c r="BE980" s="1316"/>
      <c r="BF980" s="1316"/>
      <c r="BG980" s="1315">
        <f>ROUND(BG978,BG979)</f>
        <v>0</v>
      </c>
      <c r="BH980" s="1316"/>
      <c r="BI980" s="1316"/>
      <c r="BJ980" s="1316"/>
      <c r="BK980" s="1315">
        <f>ROUND(BK978,BK979)</f>
        <v>0</v>
      </c>
      <c r="BL980" s="1316"/>
      <c r="BM980" s="1316"/>
      <c r="BN980" s="1316"/>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301" t="str">
        <f>W962</f>
        <v>Primavera</v>
      </c>
      <c r="X987" s="1301"/>
      <c r="Y987" s="1301"/>
      <c r="Z987" s="1301"/>
      <c r="AA987" s="1301" t="str">
        <f>AA962</f>
        <v>Estate</v>
      </c>
      <c r="AB987" s="1301"/>
      <c r="AC987" s="1301"/>
      <c r="AD987" s="1301"/>
      <c r="AE987" s="1301" t="str">
        <f>AE962</f>
        <v>Autunno</v>
      </c>
      <c r="AF987" s="1301"/>
      <c r="AG987" s="1301"/>
      <c r="AH987" s="1301"/>
      <c r="AI987" s="1301" t="str">
        <f>AI962</f>
        <v>Inverno</v>
      </c>
      <c r="AJ987" s="1301"/>
      <c r="AK987" s="1301"/>
      <c r="AL987" s="1301"/>
      <c r="AM987" s="1301" t="str">
        <f>AM962</f>
        <v>Anno</v>
      </c>
      <c r="AN987" s="1301"/>
      <c r="AO987" s="1301"/>
      <c r="AP987" s="1301"/>
      <c r="AV987" s="1385" t="str">
        <f>W987</f>
        <v>Primavera</v>
      </c>
      <c r="AW987" s="1350"/>
      <c r="AX987" s="1350"/>
      <c r="AY987" s="27"/>
      <c r="AZ987" s="1401" t="str">
        <f>AA987</f>
        <v>Estate</v>
      </c>
      <c r="BA987" s="1436"/>
      <c r="BB987" s="1436"/>
      <c r="BC987" s="27"/>
      <c r="BD987" s="1385" t="str">
        <f>AE987</f>
        <v>Autunno</v>
      </c>
      <c r="BE987" s="1350"/>
      <c r="BF987" s="1350"/>
      <c r="BG987" s="27"/>
      <c r="BH987" s="1385" t="str">
        <f>AI987</f>
        <v>Inverno</v>
      </c>
      <c r="BI987" s="1350"/>
      <c r="BJ987" s="1350"/>
      <c r="BK987" s="27"/>
      <c r="BL987" s="1385" t="s">
        <v>94</v>
      </c>
      <c r="BM987" s="1350"/>
      <c r="BN987" s="1350"/>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300">
        <f>W409+W423</f>
        <v>0</v>
      </c>
      <c r="X988" s="1301"/>
      <c r="Y988" s="1301"/>
      <c r="Z988" s="1301"/>
      <c r="AA988" s="1300">
        <f>AA409+AA423</f>
        <v>0</v>
      </c>
      <c r="AB988" s="1301"/>
      <c r="AC988" s="1301"/>
      <c r="AD988" s="1301"/>
      <c r="AE988" s="1300">
        <f>AE409+AE423</f>
        <v>0</v>
      </c>
      <c r="AF988" s="1301"/>
      <c r="AG988" s="1301"/>
      <c r="AH988" s="1301"/>
      <c r="AI988" s="1300">
        <f>AI409+AI423</f>
        <v>0</v>
      </c>
      <c r="AJ988" s="1301"/>
      <c r="AK988" s="1301"/>
      <c r="AL988" s="1301"/>
      <c r="AM988" s="1300">
        <f t="shared" ref="AM988" si="280">SUM(W988:AL988)</f>
        <v>0</v>
      </c>
      <c r="AN988" s="1300"/>
      <c r="AO988" s="1300"/>
      <c r="AP988" s="1300"/>
      <c r="AQ988" s="536"/>
      <c r="AR988" s="536"/>
      <c r="AU988" s="1300">
        <f>AU409+AU423</f>
        <v>0</v>
      </c>
      <c r="AV988" s="1301"/>
      <c r="AW988" s="1301"/>
      <c r="AX988" s="1301"/>
      <c r="AY988" s="1300">
        <f>AY409+AY423</f>
        <v>0</v>
      </c>
      <c r="AZ988" s="1301"/>
      <c r="BA988" s="1301"/>
      <c r="BB988" s="1301"/>
      <c r="BC988" s="1300">
        <f>BC409+BC423</f>
        <v>0</v>
      </c>
      <c r="BD988" s="1301"/>
      <c r="BE988" s="1301"/>
      <c r="BF988" s="1301"/>
      <c r="BG988" s="1300">
        <f>BG409+BG423</f>
        <v>0</v>
      </c>
      <c r="BH988" s="1301"/>
      <c r="BI988" s="1301"/>
      <c r="BJ988" s="1301"/>
      <c r="BK988" s="1300">
        <f t="shared" ref="BK988" si="281">SUM(AU988:BJ988)</f>
        <v>0</v>
      </c>
      <c r="BL988" s="1300"/>
      <c r="BM988" s="1300"/>
      <c r="BN988" s="1300"/>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7">
        <f>IF(W988&gt;100000,-4,IF(W988&gt;10000,-3,IF(W988&gt;1000,-2,$V989)))</f>
        <v>-1</v>
      </c>
      <c r="X989" s="1318"/>
      <c r="Y989" s="1318"/>
      <c r="Z989" s="1318"/>
      <c r="AA989" s="1317">
        <f>IF(AA988&gt;100000,-4,IF(AA988&gt;10000,-3,IF(AA988&gt;1000,-2,$V989)))</f>
        <v>-1</v>
      </c>
      <c r="AB989" s="1318"/>
      <c r="AC989" s="1318"/>
      <c r="AD989" s="1318"/>
      <c r="AE989" s="1317">
        <f>IF(AE988&gt;100000,-4,IF(AE988&gt;10000,-3,IF(AE988&gt;1000,-2,$V989)))</f>
        <v>-1</v>
      </c>
      <c r="AF989" s="1318"/>
      <c r="AG989" s="1318"/>
      <c r="AH989" s="1318"/>
      <c r="AI989" s="1317">
        <f>IF(AI988&gt;100000,-4,IF(AI988&gt;10000,-3,IF(AI988&gt;1000,-2,$V989)))</f>
        <v>-1</v>
      </c>
      <c r="AJ989" s="1318"/>
      <c r="AK989" s="1318"/>
      <c r="AL989" s="1318"/>
      <c r="AM989" s="1317">
        <f t="shared" ref="AM989" si="282">IF(AM988&gt;100000,-4,IF(AM988&gt;10000,-3,IF(AM988&gt;1000,-2,-1)))</f>
        <v>-1</v>
      </c>
      <c r="AN989" s="1318"/>
      <c r="AO989" s="1318"/>
      <c r="AP989" s="1318"/>
      <c r="AQ989" s="536"/>
      <c r="AR989" s="536"/>
      <c r="AT989" s="494">
        <f>IF(BK988&gt;10000,-2,-1)</f>
        <v>-1</v>
      </c>
      <c r="AU989" s="1317">
        <f>IF(AU988&gt;100000,-4,IF(AU988&gt;10000,-3,IF(AU988&gt;1000,-2,$V989)))</f>
        <v>-1</v>
      </c>
      <c r="AV989" s="1318"/>
      <c r="AW989" s="1318"/>
      <c r="AX989" s="1318"/>
      <c r="AY989" s="1317">
        <f>IF(AY988&gt;100000,-4,IF(AY988&gt;10000,-3,IF(AY988&gt;1000,-2,$V989)))</f>
        <v>-1</v>
      </c>
      <c r="AZ989" s="1318"/>
      <c r="BA989" s="1318"/>
      <c r="BB989" s="1318"/>
      <c r="BC989" s="1317">
        <f>IF(BC988&gt;100000,-4,IF(BC988&gt;10000,-3,IF(BC988&gt;1000,-2,$V989)))</f>
        <v>-1</v>
      </c>
      <c r="BD989" s="1318"/>
      <c r="BE989" s="1318"/>
      <c r="BF989" s="1318"/>
      <c r="BG989" s="1317">
        <f>IF(BG988&gt;100000,-4,IF(BG988&gt;10000,-3,IF(BG988&gt;1000,-2,$V989)))</f>
        <v>-1</v>
      </c>
      <c r="BH989" s="1318"/>
      <c r="BI989" s="1318"/>
      <c r="BJ989" s="1318"/>
      <c r="BK989" s="1317">
        <f t="shared" ref="BK989" si="283">IF(BK988&gt;100000,-4,IF(BK988&gt;10000,-3,IF(BK988&gt;1000,-2,-1)))</f>
        <v>-1</v>
      </c>
      <c r="BL989" s="1318"/>
      <c r="BM989" s="1318"/>
      <c r="BN989" s="1318"/>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315">
        <f>ROUND(W988,W989)</f>
        <v>0</v>
      </c>
      <c r="X990" s="1316"/>
      <c r="Y990" s="1316"/>
      <c r="Z990" s="1316"/>
      <c r="AA990" s="1315">
        <f>ROUND(AA988,AA989)</f>
        <v>0</v>
      </c>
      <c r="AB990" s="1316"/>
      <c r="AC990" s="1316"/>
      <c r="AD990" s="1316"/>
      <c r="AE990" s="1315">
        <f>ROUND(AE988,AE989)</f>
        <v>0</v>
      </c>
      <c r="AF990" s="1316"/>
      <c r="AG990" s="1316"/>
      <c r="AH990" s="1316"/>
      <c r="AI990" s="1315">
        <f>ROUND(AI988,AI989)</f>
        <v>0</v>
      </c>
      <c r="AJ990" s="1316"/>
      <c r="AK990" s="1316"/>
      <c r="AL990" s="1316"/>
      <c r="AM990" s="1315">
        <f>ROUND(AM988,AM989)</f>
        <v>0</v>
      </c>
      <c r="AN990" s="1316"/>
      <c r="AO990" s="1316"/>
      <c r="AP990" s="1316"/>
      <c r="AT990" s="543"/>
      <c r="AU990" s="1315">
        <f>ROUND(AU988,AU989)</f>
        <v>0</v>
      </c>
      <c r="AV990" s="1316"/>
      <c r="AW990" s="1316"/>
      <c r="AX990" s="1316"/>
      <c r="AY990" s="1315">
        <f>ROUND(AY988,AY989)</f>
        <v>0</v>
      </c>
      <c r="AZ990" s="1316"/>
      <c r="BA990" s="1316"/>
      <c r="BB990" s="1316"/>
      <c r="BC990" s="1315">
        <f>ROUND(BC988,BC989)</f>
        <v>0</v>
      </c>
      <c r="BD990" s="1316"/>
      <c r="BE990" s="1316"/>
      <c r="BF990" s="1316"/>
      <c r="BG990" s="1315">
        <f>ROUND(BG988,BG989)</f>
        <v>0</v>
      </c>
      <c r="BH990" s="1316"/>
      <c r="BI990" s="1316"/>
      <c r="BJ990" s="1316"/>
      <c r="BK990" s="1315">
        <f>ROUND(BK988,BK989)</f>
        <v>0</v>
      </c>
      <c r="BL990" s="1316"/>
      <c r="BM990" s="1316"/>
      <c r="BN990" s="1316"/>
      <c r="BQ990" s="201"/>
    </row>
    <row r="991" spans="5:124" hidden="1" outlineLevel="1" x14ac:dyDescent="0.15">
      <c r="BQ991" s="201"/>
    </row>
    <row r="992" spans="5:124" hidden="1" outlineLevel="1" x14ac:dyDescent="0.15">
      <c r="I992" t="s">
        <v>900</v>
      </c>
      <c r="T992" s="27" t="s">
        <v>176</v>
      </c>
      <c r="V992" s="494"/>
      <c r="W992" s="1300">
        <f>IF(W957&gt;W988,W988,W957)</f>
        <v>0</v>
      </c>
      <c r="X992" s="1301"/>
      <c r="Y992" s="1301"/>
      <c r="Z992" s="1301"/>
      <c r="AA992" s="1300">
        <f>IF(AA957&gt;AA988,AA988,AA957)</f>
        <v>0</v>
      </c>
      <c r="AB992" s="1301"/>
      <c r="AC992" s="1301"/>
      <c r="AD992" s="1301"/>
      <c r="AE992" s="1300">
        <f>IF(AE957&gt;AE988,AE988,AE957)</f>
        <v>0</v>
      </c>
      <c r="AF992" s="1301"/>
      <c r="AG992" s="1301"/>
      <c r="AH992" s="1301"/>
      <c r="AI992" s="1300">
        <f>IF(AI957&gt;AI988,AI988,AI957)</f>
        <v>0</v>
      </c>
      <c r="AJ992" s="1301"/>
      <c r="AK992" s="1301"/>
      <c r="AL992" s="1301"/>
      <c r="AM992" s="1300">
        <f>SUM(W992:AL992)</f>
        <v>0</v>
      </c>
      <c r="AN992" s="1300"/>
      <c r="AO992" s="1300"/>
      <c r="AP992" s="1300"/>
      <c r="AT992" s="494"/>
      <c r="AU992" s="1300">
        <f>IF(AU957&gt;AU988,AU988,AU957)</f>
        <v>0</v>
      </c>
      <c r="AV992" s="1301"/>
      <c r="AW992" s="1301"/>
      <c r="AX992" s="1301"/>
      <c r="AY992" s="1300">
        <f>IF(AY957&gt;AY988,AY988,AY957)</f>
        <v>0</v>
      </c>
      <c r="AZ992" s="1301"/>
      <c r="BA992" s="1301"/>
      <c r="BB992" s="1301"/>
      <c r="BC992" s="1300">
        <f>IF(BC957&gt;BC988,BC988,BC957)</f>
        <v>0</v>
      </c>
      <c r="BD992" s="1301"/>
      <c r="BE992" s="1301"/>
      <c r="BF992" s="1301"/>
      <c r="BG992" s="1300">
        <f>IF(BG957&gt;BG988,BG988,BG957)</f>
        <v>0</v>
      </c>
      <c r="BH992" s="1301"/>
      <c r="BI992" s="1301"/>
      <c r="BJ992" s="1301"/>
      <c r="BK992" s="1300">
        <f>SUM(AU992:BJ992)</f>
        <v>0</v>
      </c>
      <c r="BL992" s="1300"/>
      <c r="BM992" s="1300"/>
      <c r="BN992" s="1300"/>
      <c r="BQ992" s="201"/>
    </row>
    <row r="993" spans="5:124" s="494" customFormat="1" ht="16" hidden="1" customHeight="1" outlineLevel="2" x14ac:dyDescent="0.15">
      <c r="E993" s="879"/>
      <c r="G993" s="493"/>
      <c r="K993" s="494" t="s">
        <v>214</v>
      </c>
      <c r="U993" s="496"/>
      <c r="V993" s="494">
        <f>IF(AM992&gt;10000,-2,-1)</f>
        <v>-1</v>
      </c>
      <c r="W993" s="1317">
        <f>IF(W992&gt;100000,-4,IF(W992&gt;10000,-3,IF(W992&gt;1000,-2,$V993)))</f>
        <v>-1</v>
      </c>
      <c r="X993" s="1318"/>
      <c r="Y993" s="1318"/>
      <c r="Z993" s="1318"/>
      <c r="AA993" s="1317">
        <f>IF(AA992&gt;100000,-4,IF(AA992&gt;10000,-3,IF(AA992&gt;1000,-2,$V993)))</f>
        <v>-1</v>
      </c>
      <c r="AB993" s="1318"/>
      <c r="AC993" s="1318"/>
      <c r="AD993" s="1318"/>
      <c r="AE993" s="1317">
        <f>IF(AE992&gt;100000,-4,IF(AE992&gt;10000,-3,IF(AE992&gt;1000,-2,$V993)))</f>
        <v>-1</v>
      </c>
      <c r="AF993" s="1318"/>
      <c r="AG993" s="1318"/>
      <c r="AH993" s="1318"/>
      <c r="AI993" s="1317">
        <f>IF(AI992&gt;100000,-4,IF(AI992&gt;10000,-3,IF(AI992&gt;1000,-2,$V993)))</f>
        <v>-1</v>
      </c>
      <c r="AJ993" s="1318"/>
      <c r="AK993" s="1318"/>
      <c r="AL993" s="1318"/>
      <c r="AM993" s="1317">
        <f t="shared" ref="AM993" si="284">IF(AM992&gt;100000,-4,IF(AM992&gt;10000,-3,IF(AM992&gt;1000,-2,-1)))</f>
        <v>-1</v>
      </c>
      <c r="AN993" s="1318"/>
      <c r="AO993" s="1318"/>
      <c r="AP993" s="1318"/>
      <c r="AQ993" s="536"/>
      <c r="AR993" s="536"/>
      <c r="AT993" s="494">
        <f>IF(BK992&gt;10000,-2,-1)</f>
        <v>-1</v>
      </c>
      <c r="AU993" s="1317">
        <f>IF(AU992&gt;100000,-4,IF(AU992&gt;10000,-3,IF(AU992&gt;1000,-2,$V993)))</f>
        <v>-1</v>
      </c>
      <c r="AV993" s="1318"/>
      <c r="AW993" s="1318"/>
      <c r="AX993" s="1318"/>
      <c r="AY993" s="1317">
        <f>IF(AY992&gt;100000,-4,IF(AY992&gt;10000,-3,IF(AY992&gt;1000,-2,$V993)))</f>
        <v>-1</v>
      </c>
      <c r="AZ993" s="1318"/>
      <c r="BA993" s="1318"/>
      <c r="BB993" s="1318"/>
      <c r="BC993" s="1317">
        <f>IF(BC992&gt;100000,-4,IF(BC992&gt;10000,-3,IF(BC992&gt;1000,-2,$V993)))</f>
        <v>-1</v>
      </c>
      <c r="BD993" s="1318"/>
      <c r="BE993" s="1318"/>
      <c r="BF993" s="1318"/>
      <c r="BG993" s="1317">
        <f>IF(BG992&gt;100000,-4,IF(BG992&gt;10000,-3,IF(BG992&gt;1000,-2,$V993)))</f>
        <v>-1</v>
      </c>
      <c r="BH993" s="1318"/>
      <c r="BI993" s="1318"/>
      <c r="BJ993" s="1318"/>
      <c r="BK993" s="1317">
        <f t="shared" ref="BK993" si="285">IF(BK992&gt;100000,-4,IF(BK992&gt;10000,-3,IF(BK992&gt;1000,-2,-1)))</f>
        <v>-1</v>
      </c>
      <c r="BL993" s="1318"/>
      <c r="BM993" s="1318"/>
      <c r="BN993" s="1318"/>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315">
        <f>ROUND(W992,W993)</f>
        <v>0</v>
      </c>
      <c r="X994" s="1316"/>
      <c r="Y994" s="1316"/>
      <c r="Z994" s="1316"/>
      <c r="AA994" s="1315">
        <f>ROUND(AA992,AA993)</f>
        <v>0</v>
      </c>
      <c r="AB994" s="1316"/>
      <c r="AC994" s="1316"/>
      <c r="AD994" s="1316"/>
      <c r="AE994" s="1315">
        <f>ROUND(AE992,AE993)</f>
        <v>0</v>
      </c>
      <c r="AF994" s="1316"/>
      <c r="AG994" s="1316"/>
      <c r="AH994" s="1316"/>
      <c r="AI994" s="1315">
        <f>ROUND(AI992,AI993)</f>
        <v>0</v>
      </c>
      <c r="AJ994" s="1316"/>
      <c r="AK994" s="1316"/>
      <c r="AL994" s="1316"/>
      <c r="AM994" s="1315">
        <f>ROUND(AM992,AM993)</f>
        <v>0</v>
      </c>
      <c r="AN994" s="1316"/>
      <c r="AO994" s="1316"/>
      <c r="AP994" s="1316"/>
      <c r="AT994" s="543"/>
      <c r="AU994" s="1315">
        <f>ROUND(AU992,AU993)</f>
        <v>0</v>
      </c>
      <c r="AV994" s="1316"/>
      <c r="AW994" s="1316"/>
      <c r="AX994" s="1316"/>
      <c r="AY994" s="1315">
        <f>ROUND(AY992,AY993)</f>
        <v>0</v>
      </c>
      <c r="AZ994" s="1316"/>
      <c r="BA994" s="1316"/>
      <c r="BB994" s="1316"/>
      <c r="BC994" s="1315">
        <f>ROUND(BC992,BC993)</f>
        <v>0</v>
      </c>
      <c r="BD994" s="1316"/>
      <c r="BE994" s="1316"/>
      <c r="BF994" s="1316"/>
      <c r="BG994" s="1315">
        <f>ROUND(BG992,BG993)</f>
        <v>0</v>
      </c>
      <c r="BH994" s="1316"/>
      <c r="BI994" s="1316"/>
      <c r="BJ994" s="1316"/>
      <c r="BK994" s="1315">
        <f>ROUND(BK992,BK993)</f>
        <v>0</v>
      </c>
      <c r="BL994" s="1316"/>
      <c r="BM994" s="1316"/>
      <c r="BN994" s="1316"/>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300">
        <f>W970</f>
        <v>0</v>
      </c>
      <c r="X996" s="1301"/>
      <c r="Y996" s="1301"/>
      <c r="Z996" s="1301"/>
      <c r="AA996" s="1300">
        <f t="shared" ref="AA996" si="286">AA970</f>
        <v>0</v>
      </c>
      <c r="AB996" s="1301"/>
      <c r="AC996" s="1301"/>
      <c r="AD996" s="1301"/>
      <c r="AE996" s="1300">
        <f t="shared" ref="AE996" si="287">AE970</f>
        <v>0</v>
      </c>
      <c r="AF996" s="1301"/>
      <c r="AG996" s="1301"/>
      <c r="AH996" s="1301"/>
      <c r="AI996" s="1300">
        <f t="shared" ref="AI996" si="288">AI970</f>
        <v>0</v>
      </c>
      <c r="AJ996" s="1301"/>
      <c r="AK996" s="1301"/>
      <c r="AL996" s="1301"/>
      <c r="AM996" s="1300"/>
      <c r="AN996" s="1301"/>
      <c r="AO996" s="1301"/>
      <c r="AP996" s="1301"/>
      <c r="AU996" s="1300">
        <f>AU970</f>
        <v>0</v>
      </c>
      <c r="AV996" s="1301"/>
      <c r="AW996" s="1301"/>
      <c r="AX996" s="1301"/>
      <c r="AY996" s="1300">
        <f t="shared" ref="AY996:AY997" si="289">AY970</f>
        <v>0</v>
      </c>
      <c r="AZ996" s="1301"/>
      <c r="BA996" s="1301"/>
      <c r="BB996" s="1301"/>
      <c r="BC996" s="1300">
        <f t="shared" ref="BC996:BC997" si="290">BC970</f>
        <v>0</v>
      </c>
      <c r="BD996" s="1301"/>
      <c r="BE996" s="1301"/>
      <c r="BF996" s="1301"/>
      <c r="BG996" s="1300">
        <f t="shared" ref="BG996:BG997" si="291">BG970</f>
        <v>0</v>
      </c>
      <c r="BH996" s="1301"/>
      <c r="BI996" s="1301"/>
      <c r="BJ996" s="1301"/>
      <c r="BK996" s="1300"/>
      <c r="BL996" s="1301"/>
      <c r="BM996" s="1301"/>
      <c r="BN996" s="1301"/>
      <c r="BQ996" s="201"/>
    </row>
    <row r="997" spans="5:124" hidden="1" outlineLevel="1" x14ac:dyDescent="0.15">
      <c r="I997" t="s">
        <v>905</v>
      </c>
      <c r="T997" t="s">
        <v>85</v>
      </c>
      <c r="W997" s="1300">
        <f>W971</f>
        <v>0</v>
      </c>
      <c r="X997" s="1301"/>
      <c r="Y997" s="1301"/>
      <c r="Z997" s="1301"/>
      <c r="AA997" s="1300">
        <f t="shared" ref="AA997" si="292">AA971</f>
        <v>0</v>
      </c>
      <c r="AB997" s="1301"/>
      <c r="AC997" s="1301"/>
      <c r="AD997" s="1301"/>
      <c r="AE997" s="1300">
        <f t="shared" ref="AE997" si="293">AE971</f>
        <v>0</v>
      </c>
      <c r="AF997" s="1301"/>
      <c r="AG997" s="1301"/>
      <c r="AH997" s="1301"/>
      <c r="AI997" s="1300">
        <f t="shared" ref="AI997" si="294">AI971</f>
        <v>0</v>
      </c>
      <c r="AJ997" s="1301"/>
      <c r="AK997" s="1301"/>
      <c r="AL997" s="1301"/>
      <c r="AU997" s="1300">
        <f>AU971</f>
        <v>0</v>
      </c>
      <c r="AV997" s="1301"/>
      <c r="AW997" s="1301"/>
      <c r="AX997" s="1301"/>
      <c r="AY997" s="1300">
        <f t="shared" si="289"/>
        <v>0</v>
      </c>
      <c r="AZ997" s="1301"/>
      <c r="BA997" s="1301"/>
      <c r="BB997" s="1301"/>
      <c r="BC997" s="1300">
        <f t="shared" si="290"/>
        <v>0</v>
      </c>
      <c r="BD997" s="1301"/>
      <c r="BE997" s="1301"/>
      <c r="BF997" s="1301"/>
      <c r="BG997" s="1300">
        <f t="shared" si="291"/>
        <v>0</v>
      </c>
      <c r="BH997" s="1301"/>
      <c r="BI997" s="1301"/>
      <c r="BJ997" s="1301"/>
      <c r="BQ997" s="201"/>
    </row>
    <row r="998" spans="5:124" hidden="1" outlineLevel="1" x14ac:dyDescent="0.15">
      <c r="I998" t="s">
        <v>877</v>
      </c>
      <c r="T998" t="s">
        <v>878</v>
      </c>
      <c r="W998" s="1300">
        <f>IF((W996-W997)&lt;0,0,(W996-W997))</f>
        <v>0</v>
      </c>
      <c r="X998" s="1301"/>
      <c r="Y998" s="1301"/>
      <c r="Z998" s="1301"/>
      <c r="AA998" s="1300">
        <f t="shared" ref="AA998" si="295">IF((AA996-AA997)&lt;0,0,(AA996-AA997))</f>
        <v>0</v>
      </c>
      <c r="AB998" s="1301"/>
      <c r="AC998" s="1301"/>
      <c r="AD998" s="1301"/>
      <c r="AE998" s="1300">
        <f t="shared" ref="AE998" si="296">IF((AE996-AE997)&lt;0,0,(AE996-AE997))</f>
        <v>0</v>
      </c>
      <c r="AF998" s="1301"/>
      <c r="AG998" s="1301"/>
      <c r="AH998" s="1301"/>
      <c r="AI998" s="1300">
        <f t="shared" ref="AI998" si="297">IF((AI996-AI997)&lt;0,0,(AI996-AI997))</f>
        <v>0</v>
      </c>
      <c r="AJ998" s="1301"/>
      <c r="AK998" s="1301"/>
      <c r="AL998" s="1301"/>
      <c r="AN998" s="1301"/>
      <c r="AO998" s="1301"/>
      <c r="AP998" s="1301"/>
      <c r="AU998" s="1300">
        <f t="shared" ref="AU998" si="298">IF((AU996-AU997)&lt;0,0,(AU996-AU997))</f>
        <v>0</v>
      </c>
      <c r="AV998" s="1301"/>
      <c r="AW998" s="1301"/>
      <c r="AX998" s="1301"/>
      <c r="AY998" s="1300">
        <f t="shared" ref="AY998" si="299">IF((AY996-AY997)&lt;0,0,(AY996-AY997))</f>
        <v>0</v>
      </c>
      <c r="AZ998" s="1301"/>
      <c r="BA998" s="1301"/>
      <c r="BB998" s="1301"/>
      <c r="BC998" s="1300">
        <f t="shared" ref="BC998" si="300">IF((BC996-BC997)&lt;0,0,(BC996-BC997))</f>
        <v>0</v>
      </c>
      <c r="BD998" s="1301"/>
      <c r="BE998" s="1301"/>
      <c r="BF998" s="1301"/>
      <c r="BG998" s="1300">
        <f t="shared" ref="BG998" si="301">IF((BG996-BG997)&lt;0,0,(BG996-BG997))</f>
        <v>0</v>
      </c>
      <c r="BH998" s="1301"/>
      <c r="BI998" s="1301"/>
      <c r="BJ998" s="1301"/>
      <c r="BL998" s="1301"/>
      <c r="BM998" s="1301"/>
      <c r="BN998" s="1301"/>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54">
        <v>2.5000000000000001E-2</v>
      </c>
      <c r="X1000" s="1354"/>
      <c r="Y1000" s="1354"/>
      <c r="Z1000" s="1354"/>
      <c r="AA1000" s="1354">
        <v>2.5000000000000001E-2</v>
      </c>
      <c r="AB1000" s="1354"/>
      <c r="AC1000" s="1354"/>
      <c r="AD1000" s="1354"/>
      <c r="AE1000" s="1354">
        <v>2.5000000000000001E-2</v>
      </c>
      <c r="AF1000" s="1354"/>
      <c r="AG1000" s="1354"/>
      <c r="AH1000" s="1354"/>
      <c r="AI1000" s="1354">
        <v>2.5000000000000001E-2</v>
      </c>
      <c r="AJ1000" s="1354"/>
      <c r="AK1000" s="1354"/>
      <c r="AL1000" s="1354"/>
      <c r="AU1000" s="1354">
        <v>2.5000000000000001E-2</v>
      </c>
      <c r="AV1000" s="1354"/>
      <c r="AW1000" s="1354"/>
      <c r="AX1000" s="1354"/>
      <c r="AY1000" s="1354">
        <v>2.5000000000000001E-2</v>
      </c>
      <c r="AZ1000" s="1354"/>
      <c r="BA1000" s="1354"/>
      <c r="BB1000" s="1354"/>
      <c r="BC1000" s="1354">
        <v>2.5000000000000001E-2</v>
      </c>
      <c r="BD1000" s="1354"/>
      <c r="BE1000" s="1354"/>
      <c r="BF1000" s="1354"/>
      <c r="BG1000" s="1354">
        <v>2.5000000000000001E-2</v>
      </c>
      <c r="BH1000" s="1354"/>
      <c r="BI1000" s="1354"/>
      <c r="BJ1000" s="1354"/>
      <c r="BQ1000" s="201"/>
      <c r="CA1000" s="63" t="s">
        <v>917</v>
      </c>
    </row>
    <row r="1001" spans="5:124" hidden="1" outlineLevel="1" x14ac:dyDescent="0.15">
      <c r="I1001" t="s">
        <v>823</v>
      </c>
      <c r="T1001" t="s">
        <v>28</v>
      </c>
      <c r="W1001" s="1324">
        <f>W998*W1000</f>
        <v>0</v>
      </c>
      <c r="X1001" s="1324"/>
      <c r="Y1001" s="1324"/>
      <c r="Z1001" s="1324"/>
      <c r="AA1001" s="1324">
        <f>AA998*AA1000</f>
        <v>0</v>
      </c>
      <c r="AB1001" s="1324"/>
      <c r="AC1001" s="1324"/>
      <c r="AD1001" s="1324"/>
      <c r="AE1001" s="1324">
        <f>AE998*AE1000</f>
        <v>0</v>
      </c>
      <c r="AF1001" s="1324"/>
      <c r="AG1001" s="1324"/>
      <c r="AH1001" s="1324"/>
      <c r="AI1001" s="1324">
        <f>AI998*AI1000</f>
        <v>0</v>
      </c>
      <c r="AJ1001" s="1324"/>
      <c r="AK1001" s="1324"/>
      <c r="AL1001" s="1324"/>
      <c r="AN1001" s="1515"/>
      <c r="AO1001" s="1515"/>
      <c r="AP1001" s="1515"/>
      <c r="AU1001" s="1324">
        <f>AU998*AU1000</f>
        <v>0</v>
      </c>
      <c r="AV1001" s="1324"/>
      <c r="AW1001" s="1324"/>
      <c r="AX1001" s="1324"/>
      <c r="AY1001" s="1324">
        <f>AY998*AY1000</f>
        <v>0</v>
      </c>
      <c r="AZ1001" s="1324"/>
      <c r="BA1001" s="1324"/>
      <c r="BB1001" s="1324"/>
      <c r="BC1001" s="1324">
        <f>BC998*BC1000</f>
        <v>0</v>
      </c>
      <c r="BD1001" s="1324"/>
      <c r="BE1001" s="1324"/>
      <c r="BF1001" s="1324"/>
      <c r="BG1001" s="1324">
        <f>BG998*BG1000</f>
        <v>0</v>
      </c>
      <c r="BH1001" s="1324"/>
      <c r="BI1001" s="1324"/>
      <c r="BJ1001" s="1324"/>
      <c r="BL1001" s="1515"/>
      <c r="BM1001" s="1515"/>
      <c r="BN1001" s="1515"/>
      <c r="BQ1001" s="201"/>
    </row>
    <row r="1002" spans="5:124" hidden="1" outlineLevel="1" x14ac:dyDescent="0.15">
      <c r="I1002" t="s">
        <v>807</v>
      </c>
      <c r="T1002" t="s">
        <v>28</v>
      </c>
      <c r="W1002" s="1324">
        <f>IF(W988=0,0,IF(W994/W988&gt;1,1,(W994/W988)))</f>
        <v>0</v>
      </c>
      <c r="X1002" s="1324"/>
      <c r="Y1002" s="1324"/>
      <c r="Z1002" s="1324"/>
      <c r="AA1002" s="1324">
        <f t="shared" ref="AA1002" si="302">IF(AA988=0,0,IF(AA994/AA988&gt;1,1,(AA994/AA988)))</f>
        <v>0</v>
      </c>
      <c r="AB1002" s="1324"/>
      <c r="AC1002" s="1324"/>
      <c r="AD1002" s="1324"/>
      <c r="AE1002" s="1324">
        <f t="shared" ref="AE1002" si="303">IF(AE988=0,0,IF(AE994/AE988&gt;1,1,(AE994/AE988)))</f>
        <v>0</v>
      </c>
      <c r="AF1002" s="1324"/>
      <c r="AG1002" s="1324"/>
      <c r="AH1002" s="1324"/>
      <c r="AI1002" s="1324">
        <f t="shared" ref="AI1002" si="304">IF(AI988=0,0,IF(AI994/AI988&gt;1,1,(AI994/AI988)))</f>
        <v>0</v>
      </c>
      <c r="AJ1002" s="1324"/>
      <c r="AK1002" s="1324"/>
      <c r="AL1002" s="1324"/>
      <c r="AN1002" s="1515">
        <f>AVERAGE(W1002:AL1002)</f>
        <v>0</v>
      </c>
      <c r="AO1002" s="1515"/>
      <c r="AP1002" s="1515"/>
      <c r="AU1002" s="1324">
        <f t="shared" ref="AU1002:BG1002" si="305">IF(AU988=0,0,IF(AU994/AU988&gt;1,1,(AU994/AU988)))</f>
        <v>0</v>
      </c>
      <c r="AV1002" s="1324"/>
      <c r="AW1002" s="1324"/>
      <c r="AX1002" s="1324"/>
      <c r="AY1002" s="1324">
        <f t="shared" si="305"/>
        <v>0</v>
      </c>
      <c r="AZ1002" s="1324"/>
      <c r="BA1002" s="1324"/>
      <c r="BB1002" s="1324"/>
      <c r="BC1002" s="1324">
        <f t="shared" si="305"/>
        <v>0</v>
      </c>
      <c r="BD1002" s="1324"/>
      <c r="BE1002" s="1324"/>
      <c r="BF1002" s="1324"/>
      <c r="BG1002" s="1324">
        <f t="shared" si="305"/>
        <v>0</v>
      </c>
      <c r="BH1002" s="1324"/>
      <c r="BI1002" s="1324"/>
      <c r="BJ1002" s="1324"/>
      <c r="BL1002" s="1515">
        <f>AVERAGE(AU1002:BJ1002)</f>
        <v>0</v>
      </c>
      <c r="BM1002" s="1515"/>
      <c r="BN1002" s="1515"/>
      <c r="BQ1002" s="201"/>
    </row>
    <row r="1003" spans="5:124" hidden="1" outlineLevel="1" x14ac:dyDescent="0.15">
      <c r="I1003" t="s">
        <v>907</v>
      </c>
      <c r="T1003" s="511" t="s">
        <v>28</v>
      </c>
      <c r="U1003" s="511"/>
      <c r="V1003" s="543"/>
      <c r="W1003" s="1324">
        <f>W1001*W1002</f>
        <v>0</v>
      </c>
      <c r="X1003" s="1324"/>
      <c r="Y1003" s="1324"/>
      <c r="Z1003" s="1324"/>
      <c r="AA1003" s="1324">
        <f>AA1001*AA1002</f>
        <v>0</v>
      </c>
      <c r="AB1003" s="1324"/>
      <c r="AC1003" s="1324"/>
      <c r="AD1003" s="1324"/>
      <c r="AE1003" s="1324">
        <f>AE1001*AE1002</f>
        <v>0</v>
      </c>
      <c r="AF1003" s="1324"/>
      <c r="AG1003" s="1324"/>
      <c r="AH1003" s="1324"/>
      <c r="AI1003" s="1324">
        <f>AI1001*AI1002</f>
        <v>0</v>
      </c>
      <c r="AJ1003" s="1324"/>
      <c r="AK1003" s="1324"/>
      <c r="AL1003" s="1324"/>
      <c r="AM1003" s="550"/>
      <c r="AN1003" s="551"/>
      <c r="AO1003" s="551"/>
      <c r="AP1003" s="551"/>
      <c r="AT1003" s="543"/>
      <c r="AU1003" s="1324">
        <f>AU1001*AU1002</f>
        <v>0</v>
      </c>
      <c r="AV1003" s="1324"/>
      <c r="AW1003" s="1324"/>
      <c r="AX1003" s="1324"/>
      <c r="AY1003" s="1324">
        <f>AY1001*AY1002</f>
        <v>0</v>
      </c>
      <c r="AZ1003" s="1324"/>
      <c r="BA1003" s="1324"/>
      <c r="BB1003" s="1324"/>
      <c r="BC1003" s="1324">
        <f>BC1001*BC1002</f>
        <v>0</v>
      </c>
      <c r="BD1003" s="1324"/>
      <c r="BE1003" s="1324"/>
      <c r="BF1003" s="1324"/>
      <c r="BG1003" s="1324">
        <f>BG1001*BG1002</f>
        <v>0</v>
      </c>
      <c r="BH1003" s="1324"/>
      <c r="BI1003" s="1324"/>
      <c r="BJ1003" s="1324"/>
      <c r="BK1003" s="550"/>
      <c r="BL1003" s="551"/>
      <c r="BM1003" s="551"/>
      <c r="BN1003" s="551"/>
      <c r="BQ1003" s="201"/>
    </row>
    <row r="1004" spans="5:124" hidden="1" outlineLevel="1" x14ac:dyDescent="0.15">
      <c r="I1004" t="s">
        <v>908</v>
      </c>
      <c r="T1004" s="511" t="s">
        <v>176</v>
      </c>
      <c r="U1004" s="511"/>
      <c r="V1004" s="543"/>
      <c r="W1004" s="1315">
        <f>W423*W1003</f>
        <v>0</v>
      </c>
      <c r="X1004" s="1316"/>
      <c r="Y1004" s="1316"/>
      <c r="Z1004" s="1316"/>
      <c r="AA1004" s="1315">
        <f>AA423*AA1003</f>
        <v>0</v>
      </c>
      <c r="AB1004" s="1316"/>
      <c r="AC1004" s="1316"/>
      <c r="AD1004" s="1316"/>
      <c r="AE1004" s="1315">
        <f>AE423*AE1003</f>
        <v>0</v>
      </c>
      <c r="AF1004" s="1316"/>
      <c r="AG1004" s="1316"/>
      <c r="AH1004" s="1316"/>
      <c r="AI1004" s="1315">
        <f>AI423*AI1003</f>
        <v>0</v>
      </c>
      <c r="AJ1004" s="1316"/>
      <c r="AK1004" s="1316"/>
      <c r="AL1004" s="1316"/>
      <c r="AM1004" s="1315">
        <f>SUM(W1004:AL1004)</f>
        <v>0</v>
      </c>
      <c r="AN1004" s="1316"/>
      <c r="AO1004" s="1316"/>
      <c r="AP1004" s="1316"/>
      <c r="AT1004" s="543"/>
      <c r="AU1004" s="1315">
        <f>AU423*AU1003</f>
        <v>0</v>
      </c>
      <c r="AV1004" s="1316"/>
      <c r="AW1004" s="1316"/>
      <c r="AX1004" s="1316"/>
      <c r="AY1004" s="1315">
        <f>AY423*AY1003</f>
        <v>0</v>
      </c>
      <c r="AZ1004" s="1316"/>
      <c r="BA1004" s="1316"/>
      <c r="BB1004" s="1316"/>
      <c r="BC1004" s="1315">
        <f>BC423*BC1003</f>
        <v>0</v>
      </c>
      <c r="BD1004" s="1316"/>
      <c r="BE1004" s="1316"/>
      <c r="BF1004" s="1316"/>
      <c r="BG1004" s="1315">
        <f>BG423*BG1003</f>
        <v>0</v>
      </c>
      <c r="BH1004" s="1316"/>
      <c r="BI1004" s="1316"/>
      <c r="BJ1004" s="1316"/>
      <c r="BK1004" s="1315">
        <f>SUM(AU1004:BJ1004)</f>
        <v>0</v>
      </c>
      <c r="BL1004" s="1316"/>
      <c r="BM1004" s="1316"/>
      <c r="BN1004" s="1316"/>
      <c r="BQ1004" s="201"/>
    </row>
    <row r="1005" spans="5:124" s="494" customFormat="1" ht="16" hidden="1" customHeight="1" outlineLevel="2" x14ac:dyDescent="0.15">
      <c r="E1005" s="879"/>
      <c r="G1005" s="493"/>
      <c r="K1005" s="494" t="s">
        <v>214</v>
      </c>
      <c r="U1005" s="496"/>
      <c r="W1005" s="1317">
        <f>IF(W1004&gt;100000,-4,IF(W1004&gt;10000,-3,IF(W1004&gt;1000,-2,-1)))</f>
        <v>-1</v>
      </c>
      <c r="X1005" s="1318"/>
      <c r="Y1005" s="1318"/>
      <c r="Z1005" s="1318"/>
      <c r="AA1005" s="1317">
        <f t="shared" ref="AA1005" si="306">IF(AA1004&gt;100000,-4,IF(AA1004&gt;10000,-3,IF(AA1004&gt;1000,-2,-1)))</f>
        <v>-1</v>
      </c>
      <c r="AB1005" s="1318"/>
      <c r="AC1005" s="1318"/>
      <c r="AD1005" s="1318"/>
      <c r="AE1005" s="1317">
        <f t="shared" ref="AE1005" si="307">IF(AE1004&gt;100000,-4,IF(AE1004&gt;10000,-3,IF(AE1004&gt;1000,-2,-1)))</f>
        <v>-1</v>
      </c>
      <c r="AF1005" s="1318"/>
      <c r="AG1005" s="1318"/>
      <c r="AH1005" s="1318"/>
      <c r="AI1005" s="1317">
        <f t="shared" ref="AI1005" si="308">IF(AI1004&gt;100000,-4,IF(AI1004&gt;10000,-3,IF(AI1004&gt;1000,-2,-1)))</f>
        <v>-1</v>
      </c>
      <c r="AJ1005" s="1318"/>
      <c r="AK1005" s="1318"/>
      <c r="AL1005" s="1318"/>
      <c r="AM1005" s="1317">
        <f t="shared" ref="AM1005" si="309">IF(AM1004&gt;100000,-4,IF(AM1004&gt;10000,-3,IF(AM1004&gt;1000,-2,-1)))</f>
        <v>-1</v>
      </c>
      <c r="AN1005" s="1318"/>
      <c r="AO1005" s="1318"/>
      <c r="AP1005" s="1318"/>
      <c r="AQ1005" s="536"/>
      <c r="AR1005" s="536"/>
      <c r="AU1005" s="1317">
        <f>IF(AU1004&gt;100000,-4,IF(AU1004&gt;10000,-3,IF(AU1004&gt;1000,-2,-1)))</f>
        <v>-1</v>
      </c>
      <c r="AV1005" s="1318"/>
      <c r="AW1005" s="1318"/>
      <c r="AX1005" s="1318"/>
      <c r="AY1005" s="1317">
        <f t="shared" ref="AY1005" si="310">IF(AY1004&gt;100000,-4,IF(AY1004&gt;10000,-3,IF(AY1004&gt;1000,-2,-1)))</f>
        <v>-1</v>
      </c>
      <c r="AZ1005" s="1318"/>
      <c r="BA1005" s="1318"/>
      <c r="BB1005" s="1318"/>
      <c r="BC1005" s="1317">
        <f t="shared" ref="BC1005" si="311">IF(BC1004&gt;100000,-4,IF(BC1004&gt;10000,-3,IF(BC1004&gt;1000,-2,-1)))</f>
        <v>-1</v>
      </c>
      <c r="BD1005" s="1318"/>
      <c r="BE1005" s="1318"/>
      <c r="BF1005" s="1318"/>
      <c r="BG1005" s="1317">
        <f t="shared" ref="BG1005" si="312">IF(BG1004&gt;100000,-4,IF(BG1004&gt;10000,-3,IF(BG1004&gt;1000,-2,-1)))</f>
        <v>-1</v>
      </c>
      <c r="BH1005" s="1318"/>
      <c r="BI1005" s="1318"/>
      <c r="BJ1005" s="1318"/>
      <c r="BK1005" s="1317">
        <f t="shared" ref="BK1005" si="313">IF(BK1004&gt;100000,-4,IF(BK1004&gt;10000,-3,IF(BK1004&gt;1000,-2,-1)))</f>
        <v>-1</v>
      </c>
      <c r="BL1005" s="1318"/>
      <c r="BM1005" s="1318"/>
      <c r="BN1005" s="1318"/>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315">
        <f>ROUND(W1004,W1005)</f>
        <v>0</v>
      </c>
      <c r="X1006" s="1316"/>
      <c r="Y1006" s="1316"/>
      <c r="Z1006" s="1316"/>
      <c r="AA1006" s="1315">
        <f>ROUND(AA1004,AA1005)</f>
        <v>0</v>
      </c>
      <c r="AB1006" s="1316"/>
      <c r="AC1006" s="1316"/>
      <c r="AD1006" s="1316"/>
      <c r="AE1006" s="1315">
        <f>ROUND(AE1004,AE1005)</f>
        <v>0</v>
      </c>
      <c r="AF1006" s="1316"/>
      <c r="AG1006" s="1316"/>
      <c r="AH1006" s="1316"/>
      <c r="AI1006" s="1315">
        <f>ROUND(AI1004,AI1005)</f>
        <v>0</v>
      </c>
      <c r="AJ1006" s="1316"/>
      <c r="AK1006" s="1316"/>
      <c r="AL1006" s="1316"/>
      <c r="AM1006" s="1315">
        <f>ROUND(AM1004,AM1005)</f>
        <v>0</v>
      </c>
      <c r="AN1006" s="1316"/>
      <c r="AO1006" s="1316"/>
      <c r="AP1006" s="1316"/>
      <c r="AT1006" s="543"/>
      <c r="AU1006" s="1315">
        <f>ROUND(AU1004,AU1005)</f>
        <v>0</v>
      </c>
      <c r="AV1006" s="1316"/>
      <c r="AW1006" s="1316"/>
      <c r="AX1006" s="1316"/>
      <c r="AY1006" s="1315">
        <f>ROUND(AY1004,AY1005)</f>
        <v>0</v>
      </c>
      <c r="AZ1006" s="1316"/>
      <c r="BA1006" s="1316"/>
      <c r="BB1006" s="1316"/>
      <c r="BC1006" s="1315">
        <f>ROUND(BC1004,BC1005)</f>
        <v>0</v>
      </c>
      <c r="BD1006" s="1316"/>
      <c r="BE1006" s="1316"/>
      <c r="BF1006" s="1316"/>
      <c r="BG1006" s="1315">
        <f>ROUND(BG1004,BG1005)</f>
        <v>0</v>
      </c>
      <c r="BH1006" s="1316"/>
      <c r="BI1006" s="1316"/>
      <c r="BJ1006" s="1316"/>
      <c r="BK1006" s="1315">
        <f>ROUND(BK1004,BK1005)</f>
        <v>0</v>
      </c>
      <c r="BL1006" s="1316"/>
      <c r="BM1006" s="1316"/>
      <c r="BN1006" s="1316"/>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Pompe circolazione caldo</v>
      </c>
      <c r="J1014" s="283"/>
      <c r="K1014" s="283"/>
      <c r="L1014" s="283"/>
      <c r="M1014" s="283"/>
      <c r="N1014" s="283"/>
      <c r="O1014" s="283"/>
      <c r="P1014" s="283"/>
      <c r="Q1014" s="283"/>
      <c r="U1014"/>
      <c r="Z1014" s="1353">
        <v>0.3</v>
      </c>
      <c r="AA1014" s="1353"/>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Pompe nebulizzazione</v>
      </c>
      <c r="J1015" s="475"/>
      <c r="K1015" s="475"/>
      <c r="L1015" s="475"/>
      <c r="M1015" s="475"/>
      <c r="N1015" s="475"/>
      <c r="O1015" s="475"/>
      <c r="P1015" s="475"/>
      <c r="Q1015" s="475"/>
      <c r="V1015" s="27"/>
      <c r="W1015" s="27"/>
      <c r="Z1015" s="1353">
        <v>0</v>
      </c>
      <c r="AA1015" s="1353"/>
      <c r="BQ1015" s="201"/>
      <c r="BT1015" s="63" t="s">
        <v>1288</v>
      </c>
    </row>
    <row r="1016" spans="5:124" hidden="1" outlineLevel="1" x14ac:dyDescent="0.15">
      <c r="I1016" s="749" t="str">
        <f t="shared" si="314"/>
        <v>Ventilatori raffreddato /condensatore</v>
      </c>
      <c r="J1016" s="475"/>
      <c r="K1016" s="475"/>
      <c r="L1016" s="475"/>
      <c r="M1016" s="475"/>
      <c r="N1016" s="475"/>
      <c r="O1016" s="475"/>
      <c r="P1016" s="475"/>
      <c r="Q1016" s="475"/>
      <c r="V1016" s="27"/>
      <c r="W1016" s="27"/>
      <c r="Z1016" s="1353">
        <v>0.4</v>
      </c>
      <c r="AA1016" s="1353"/>
      <c r="BQ1016" s="201"/>
      <c r="BT1016" s="63" t="s">
        <v>1289</v>
      </c>
    </row>
    <row r="1017" spans="5:124" hidden="1" outlineLevel="1" x14ac:dyDescent="0.15">
      <c r="I1017" s="749" t="str">
        <f t="shared" si="314"/>
        <v/>
      </c>
      <c r="J1017" s="475"/>
      <c r="K1017" s="475"/>
      <c r="L1017" s="475"/>
      <c r="M1017" s="475"/>
      <c r="N1017" s="475"/>
      <c r="O1017" s="475"/>
      <c r="P1017" s="475"/>
      <c r="Q1017" s="475"/>
      <c r="U1017"/>
      <c r="Z1017" s="1353">
        <v>1</v>
      </c>
      <c r="AA1017" s="1353"/>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N372:AP372"/>
    <mergeCell ref="AZ372:BB372"/>
    <mergeCell ref="BD372:BF372"/>
    <mergeCell ref="BH372:BJ372"/>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BF546:BH546"/>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BD750:BE750"/>
    <mergeCell ref="AV751:AW751"/>
    <mergeCell ref="AX751:AY751"/>
    <mergeCell ref="AM821:AN821"/>
    <mergeCell ref="R848:S848"/>
    <mergeCell ref="T848:U848"/>
    <mergeCell ref="R835:S835"/>
    <mergeCell ref="V819:W819"/>
    <mergeCell ref="X819:Y819"/>
    <mergeCell ref="AH546:AJ546"/>
    <mergeCell ref="AL546:AN546"/>
    <mergeCell ref="AX546:AZ546"/>
    <mergeCell ref="BB546:BD546"/>
    <mergeCell ref="AH553:AJ553"/>
    <mergeCell ref="R856:S856"/>
    <mergeCell ref="T856:U856"/>
    <mergeCell ref="V856:W856"/>
    <mergeCell ref="X856:Y856"/>
    <mergeCell ref="Z856:AA856"/>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BG963:BJ963"/>
    <mergeCell ref="BG943:BJ943"/>
    <mergeCell ref="BG945:BJ945"/>
    <mergeCell ref="BC1001:BF1001"/>
    <mergeCell ref="BG1001:BJ1001"/>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C873:BH873"/>
    <mergeCell ref="BC874:BH874"/>
    <mergeCell ref="BC875:BH875"/>
    <mergeCell ref="AU993:AX993"/>
    <mergeCell ref="AY993:BB993"/>
    <mergeCell ref="BC993:BF993"/>
    <mergeCell ref="BG993:BJ993"/>
    <mergeCell ref="AZ987:BB987"/>
    <mergeCell ref="BD987:BF987"/>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AK926:AL926"/>
    <mergeCell ref="Y925:Z925"/>
    <mergeCell ref="AA925:AB925"/>
    <mergeCell ref="AE881:AJ881"/>
    <mergeCell ref="AE882:AJ882"/>
    <mergeCell ref="AE883:AJ883"/>
    <mergeCell ref="AE856:AF856"/>
    <mergeCell ref="AG856:AH856"/>
    <mergeCell ref="AY955:BB955"/>
    <mergeCell ref="AY953:BB953"/>
    <mergeCell ref="AY943:BB943"/>
    <mergeCell ref="BC943:BF943"/>
    <mergeCell ref="AY945:BB945"/>
    <mergeCell ref="BC945:BF945"/>
    <mergeCell ref="AZ899:BB899"/>
    <mergeCell ref="AG829:AH829"/>
    <mergeCell ref="AI829:AJ829"/>
    <mergeCell ref="AK829:AL829"/>
    <mergeCell ref="AE839:AN839"/>
    <mergeCell ref="AE840:AF840"/>
    <mergeCell ref="AE848:AF848"/>
    <mergeCell ref="AG848:AH848"/>
    <mergeCell ref="AI848:AJ848"/>
    <mergeCell ref="AK835:AL835"/>
    <mergeCell ref="AM835:AN835"/>
    <mergeCell ref="AM829:AN829"/>
    <mergeCell ref="AY941:AZ941"/>
    <mergeCell ref="BA941:BB941"/>
    <mergeCell ref="AE835:AF835"/>
    <mergeCell ref="AG835:AH835"/>
    <mergeCell ref="AI835:AJ835"/>
    <mergeCell ref="AV896:AX896"/>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876:AJ876"/>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AC924:AD924"/>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45:AH945"/>
    <mergeCell ref="AK929:AL929"/>
    <mergeCell ref="AI966:AL966"/>
    <mergeCell ref="AM966:AP966"/>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W945:Z945"/>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AA974:AD974"/>
    <mergeCell ref="AE974:AH974"/>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AM766:AN766"/>
    <mergeCell ref="AE767:AF767"/>
    <mergeCell ref="AG767:AH767"/>
    <mergeCell ref="AI767:AJ767"/>
    <mergeCell ref="AK767:AL767"/>
    <mergeCell ref="AM767:AN767"/>
    <mergeCell ref="X821:Y821"/>
    <mergeCell ref="R773:AA773"/>
    <mergeCell ref="R774:S774"/>
    <mergeCell ref="T774:U774"/>
    <mergeCell ref="V774:W774"/>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746:AW746"/>
    <mergeCell ref="AX746:AY746"/>
    <mergeCell ref="AZ746:BA746"/>
    <mergeCell ref="AJ693:AL693"/>
    <mergeCell ref="AN693:AP693"/>
    <mergeCell ref="AV693:AX693"/>
    <mergeCell ref="BH684:BJ684"/>
    <mergeCell ref="AV714:BN714"/>
    <mergeCell ref="BH701:BJ701"/>
    <mergeCell ref="BL701:BN701"/>
    <mergeCell ref="AV745:BE745"/>
    <mergeCell ref="AJ372:AL372"/>
    <mergeCell ref="AV372:AX372"/>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H517:AJ517"/>
    <mergeCell ref="AL517:AN517"/>
    <mergeCell ref="BG472:BJ472"/>
    <mergeCell ref="BJ546:BL546"/>
    <mergeCell ref="AH547:AJ547"/>
    <mergeCell ref="AF370:AH370"/>
    <mergeCell ref="AJ370:AL370"/>
    <mergeCell ref="AD576:AF576"/>
    <mergeCell ref="BL367:BN367"/>
    <mergeCell ref="BH368:BJ368"/>
    <mergeCell ref="BL368:BN368"/>
    <mergeCell ref="Z820:AA820"/>
    <mergeCell ref="R812:AA812"/>
    <mergeCell ref="R813:S813"/>
    <mergeCell ref="T813:U813"/>
    <mergeCell ref="V813:W813"/>
    <mergeCell ref="X813:Y813"/>
    <mergeCell ref="Z813:AA813"/>
    <mergeCell ref="T816:U816"/>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AF372:AH372"/>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BH443:BJ443"/>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AV383:AX383"/>
    <mergeCell ref="AE411:AH411"/>
    <mergeCell ref="AI411:AL411"/>
    <mergeCell ref="AM411:AP411"/>
    <mergeCell ref="AU411:AX411"/>
    <mergeCell ref="AY411:BB411"/>
    <mergeCell ref="AE410:AH410"/>
    <mergeCell ref="BC423:BF423"/>
    <mergeCell ref="AB417:AD417"/>
    <mergeCell ref="AJ416:AL416"/>
    <mergeCell ref="AV419:AX419"/>
    <mergeCell ref="AM425:AP425"/>
    <mergeCell ref="AF422:AH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BD380:BF380"/>
    <mergeCell ref="AJ359:AL359"/>
    <mergeCell ref="X361:Z361"/>
    <mergeCell ref="AF361:AH361"/>
    <mergeCell ref="AJ361:AL361"/>
    <mergeCell ref="AV361:AX361"/>
    <mergeCell ref="BD361:BF361"/>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BD406:BF406"/>
    <mergeCell ref="BD381:BF381"/>
    <mergeCell ref="X447:Z447"/>
    <mergeCell ref="AB447:AD447"/>
    <mergeCell ref="AZ378:BB378"/>
    <mergeCell ref="AF373:AH373"/>
    <mergeCell ref="AJ420:AL420"/>
    <mergeCell ref="X421:Z421"/>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AN180:AP180"/>
    <mergeCell ref="AV180:AX180"/>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AV183:AX183"/>
    <mergeCell ref="AZ185:BB185"/>
    <mergeCell ref="BL217:BN217"/>
    <mergeCell ref="BL195:BN195"/>
    <mergeCell ref="AF205:AH205"/>
    <mergeCell ref="AB205:AD205"/>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J177:AL177"/>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AN185:AP18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BL145:BN145"/>
    <mergeCell ref="BL147:BN147"/>
    <mergeCell ref="BL180:BN180"/>
    <mergeCell ref="AJ147:AL147"/>
    <mergeCell ref="AJ145:AL145"/>
    <mergeCell ref="BD145:BF145"/>
    <mergeCell ref="BD155:BF155"/>
    <mergeCell ref="W185:Z185"/>
    <mergeCell ref="AZ157:BB157"/>
    <mergeCell ref="BD157:BF157"/>
    <mergeCell ref="AZ163:BB163"/>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V380:AX380"/>
    <mergeCell ref="AZ340:BB340"/>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AF378:AH378"/>
    <mergeCell ref="AN406:AP406"/>
    <mergeCell ref="AB404:AD404"/>
    <mergeCell ref="AF387:AH387"/>
    <mergeCell ref="AJ387:AL387"/>
    <mergeCell ref="AN387:AP387"/>
    <mergeCell ref="BD362:BF362"/>
    <mergeCell ref="AZ417:BB417"/>
    <mergeCell ref="BD417:BF417"/>
    <mergeCell ref="AE345:AH345"/>
    <mergeCell ref="AI345:AL345"/>
    <mergeCell ref="AM309:AP309"/>
    <mergeCell ref="AU309:AX309"/>
    <mergeCell ref="AI307:AL307"/>
    <mergeCell ref="AU235:AX235"/>
    <mergeCell ref="BD384:BF384"/>
    <mergeCell ref="AZ384:BB384"/>
    <mergeCell ref="BD328:BF328"/>
    <mergeCell ref="AV249:AX249"/>
    <mergeCell ref="AJ324:AL324"/>
    <mergeCell ref="AM307:AP307"/>
    <mergeCell ref="AU275:AX275"/>
    <mergeCell ref="AY309:BB309"/>
    <mergeCell ref="BC309:BF309"/>
    <mergeCell ref="AY306:BB306"/>
    <mergeCell ref="AU307:AX307"/>
    <mergeCell ref="AV324:AX324"/>
    <mergeCell ref="AA306:AD306"/>
    <mergeCell ref="AI331:AL331"/>
    <mergeCell ref="AE305:AH305"/>
    <mergeCell ref="AE306:AH306"/>
    <mergeCell ref="AV288:AX288"/>
    <mergeCell ref="X465:Z465"/>
    <mergeCell ref="X461:Z461"/>
    <mergeCell ref="X354:Z354"/>
    <mergeCell ref="AY390:BB390"/>
    <mergeCell ref="BC345:BF345"/>
    <mergeCell ref="AB457:AD457"/>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Z461:BB461"/>
    <mergeCell ref="BD461:BF461"/>
    <mergeCell ref="BD339:BF339"/>
    <mergeCell ref="AJ341:AL341"/>
    <mergeCell ref="X327:Z327"/>
    <mergeCell ref="AF335:AH335"/>
    <mergeCell ref="AF339:AH339"/>
    <mergeCell ref="AB169:AD169"/>
    <mergeCell ref="AN145:AP145"/>
    <mergeCell ref="AV336:AX336"/>
    <mergeCell ref="X151:Z151"/>
    <mergeCell ref="BL167:BN167"/>
    <mergeCell ref="BH159:BJ159"/>
    <mergeCell ref="AF167:AH167"/>
    <mergeCell ref="AJ165:AL165"/>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BD177:BF177"/>
    <mergeCell ref="BL161:BN161"/>
    <mergeCell ref="BD205:BF205"/>
    <mergeCell ref="BH205:BJ205"/>
    <mergeCell ref="BL181:BN181"/>
    <mergeCell ref="BC203:BF203"/>
    <mergeCell ref="BG203:BJ203"/>
    <mergeCell ref="BD193:BF193"/>
    <mergeCell ref="BH193:BJ193"/>
    <mergeCell ref="BL193:BN193"/>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AJ645:AL645"/>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64:AL664"/>
    <mergeCell ref="AN664:AP664"/>
    <mergeCell ref="AB683:AD683"/>
    <mergeCell ref="N619:P619"/>
    <mergeCell ref="R619:T619"/>
    <mergeCell ref="V619:X619"/>
    <mergeCell ref="Z619:AB619"/>
    <mergeCell ref="AD619:AF619"/>
    <mergeCell ref="N620:P620"/>
    <mergeCell ref="R620:T620"/>
    <mergeCell ref="V620:X620"/>
    <mergeCell ref="Z620:AB620"/>
    <mergeCell ref="AD620:AF620"/>
    <mergeCell ref="Z622:AB622"/>
    <mergeCell ref="N621:P621"/>
    <mergeCell ref="R621:T621"/>
    <mergeCell ref="AD622:AF622"/>
    <mergeCell ref="AD636:AF636"/>
    <mergeCell ref="AD625:AF625"/>
    <mergeCell ref="R626:T626"/>
    <mergeCell ref="N624:P624"/>
    <mergeCell ref="X664:Z664"/>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Z543:AB543"/>
    <mergeCell ref="AB161:AD161"/>
    <mergeCell ref="AZ179:BB179"/>
    <mergeCell ref="AB183:AD183"/>
    <mergeCell ref="AV155:AX155"/>
    <mergeCell ref="AZ155:BB155"/>
    <mergeCell ref="AJ157:AL157"/>
    <mergeCell ref="BN521:BP521"/>
    <mergeCell ref="BJ513:BL513"/>
    <mergeCell ref="BJ503:BL503"/>
    <mergeCell ref="AV461:AX461"/>
    <mergeCell ref="BF511:BH511"/>
    <mergeCell ref="AL508:AN508"/>
    <mergeCell ref="Z507:AB507"/>
    <mergeCell ref="Z511:AB511"/>
    <mergeCell ref="AD511:AF511"/>
    <mergeCell ref="AH507:AJ507"/>
    <mergeCell ref="AX508:AZ508"/>
    <mergeCell ref="BB508:BD508"/>
    <mergeCell ref="BD465:BF465"/>
    <mergeCell ref="AL516:AN516"/>
    <mergeCell ref="X468:Z468"/>
    <mergeCell ref="AB468:AD468"/>
    <mergeCell ref="AJ468:AL468"/>
    <mergeCell ref="BB511:BD511"/>
    <mergeCell ref="BL173:BN173"/>
    <mergeCell ref="BL171:BN171"/>
    <mergeCell ref="X175:Z175"/>
    <mergeCell ref="AB191:AD191"/>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X429:Z429"/>
    <mergeCell ref="X271:Z271"/>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X119:Z119"/>
    <mergeCell ref="AB110:AP110"/>
    <mergeCell ref="AV119:AX119"/>
    <mergeCell ref="X83:Z83"/>
    <mergeCell ref="I85:S85"/>
    <mergeCell ref="AZ89:BN89"/>
    <mergeCell ref="AV89:AX89"/>
    <mergeCell ref="AZ93:BN93"/>
    <mergeCell ref="I123:S123"/>
    <mergeCell ref="H131:BN131"/>
    <mergeCell ref="AB93:AP93"/>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AB336:AD336"/>
    <mergeCell ref="AY331:BB331"/>
    <mergeCell ref="AJ326:AL326"/>
    <mergeCell ref="W306:Z306"/>
    <mergeCell ref="AB352:AD352"/>
    <mergeCell ref="AZ354:BB354"/>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A425:AD425"/>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G790:AH790"/>
    <mergeCell ref="AI790:AJ790"/>
    <mergeCell ref="AK790:AL790"/>
    <mergeCell ref="AM790:AN790"/>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I813:AJ813"/>
    <mergeCell ref="AK813:AL813"/>
    <mergeCell ref="AM813:AN813"/>
    <mergeCell ref="AK814:AL81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E821:AF821"/>
    <mergeCell ref="AG821:AH821"/>
    <mergeCell ref="AI821:AJ821"/>
    <mergeCell ref="AK821:AL821"/>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V802:AW802"/>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X805:AY805"/>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M306:AP306"/>
    <mergeCell ref="W307:Z307"/>
    <mergeCell ref="AA307:AD307"/>
    <mergeCell ref="AF327:AH327"/>
    <mergeCell ref="AB327:AD327"/>
    <mergeCell ref="AE308:AH308"/>
    <mergeCell ref="AI308:AL308"/>
    <mergeCell ref="AM308:AP308"/>
    <mergeCell ref="AZ376:BB376"/>
    <mergeCell ref="AF324:AH324"/>
    <mergeCell ref="AF328:AH328"/>
    <mergeCell ref="AF407:AH407"/>
    <mergeCell ref="AV379:AX379"/>
    <mergeCell ref="AF384:AH384"/>
    <mergeCell ref="AF366:AH366"/>
    <mergeCell ref="AJ366:AL366"/>
    <mergeCell ref="AV378:AX378"/>
    <mergeCell ref="AV376:AX376"/>
    <mergeCell ref="AB373:AD373"/>
    <mergeCell ref="X335:Z335"/>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W292:Z292"/>
    <mergeCell ref="W291:Z291"/>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B792:BC792"/>
    <mergeCell ref="BD792:BE792"/>
    <mergeCell ref="AV803:AW803"/>
    <mergeCell ref="AX803:AY803"/>
    <mergeCell ref="AZ803:BA803"/>
    <mergeCell ref="BB803:BC803"/>
    <mergeCell ref="BD803:BE803"/>
    <mergeCell ref="AX794:AY794"/>
    <mergeCell ref="AZ794:BA794"/>
    <mergeCell ref="AV788:AW788"/>
    <mergeCell ref="AX788:AY788"/>
    <mergeCell ref="AO801:AP801"/>
    <mergeCell ref="AV805:AW805"/>
    <mergeCell ref="AU297:AX297"/>
    <mergeCell ref="W298:Z298"/>
    <mergeCell ref="AU298:AX298"/>
    <mergeCell ref="AB326:AD326"/>
    <mergeCell ref="AU241:AX24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I356:S356"/>
    <mergeCell ref="X448:Z448"/>
    <mergeCell ref="AV775:AW775"/>
    <mergeCell ref="AX775:AY775"/>
    <mergeCell ref="X404:Z404"/>
    <mergeCell ref="AY423:BB423"/>
    <mergeCell ref="AZ775:BA775"/>
    <mergeCell ref="BB775:BC775"/>
    <mergeCell ref="BD775:BE775"/>
    <mergeCell ref="AV781:AW781"/>
    <mergeCell ref="AU470:AX470"/>
    <mergeCell ref="AY470:BB470"/>
    <mergeCell ref="BC470:BF470"/>
    <mergeCell ref="BF503:BH503"/>
    <mergeCell ref="BB507:BD507"/>
    <mergeCell ref="BF558:BH558"/>
    <mergeCell ref="BF542:BH542"/>
    <mergeCell ref="BB586:BD586"/>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BG470:BJ470"/>
    <mergeCell ref="BF477:BM477"/>
    <mergeCell ref="AV774:AW774"/>
    <mergeCell ref="AV750:AW750"/>
    <mergeCell ref="AX750:AY750"/>
    <mergeCell ref="AZ750:BA750"/>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AE841:AF841"/>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W331:Z331"/>
    <mergeCell ref="X379:Z379"/>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X897:Z897"/>
    <mergeCell ref="AB897:AD897"/>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406:AH406"/>
    <mergeCell ref="AF894:AH894"/>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BD907:BF907"/>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BK963:BN963"/>
    <mergeCell ref="AV829:AW829"/>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G953:BJ953"/>
    <mergeCell ref="BK953:BN953"/>
    <mergeCell ref="AU954:AX954"/>
    <mergeCell ref="AY954:BB954"/>
    <mergeCell ref="BC954:BF954"/>
    <mergeCell ref="BG954:BJ954"/>
    <mergeCell ref="BB750:BC750"/>
    <mergeCell ref="BD809:BE809"/>
    <mergeCell ref="AV812:BE812"/>
    <mergeCell ref="AV813:AW813"/>
    <mergeCell ref="BL429:BN429"/>
    <mergeCell ref="BL435:BN435"/>
    <mergeCell ref="BL437:BN437"/>
    <mergeCell ref="BL432:BN432"/>
    <mergeCell ref="BL433:BN433"/>
    <mergeCell ref="AV721:AX721"/>
    <mergeCell ref="BF521:BH521"/>
    <mergeCell ref="AX781:AY781"/>
    <mergeCell ref="AZ781:BA781"/>
    <mergeCell ref="BB781:BC781"/>
    <mergeCell ref="BD781:BE781"/>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X349:Z349"/>
    <mergeCell ref="AB349:AD349"/>
    <mergeCell ref="AF349:AH349"/>
    <mergeCell ref="AJ349:AL349"/>
    <mergeCell ref="AN349:AP349"/>
    <mergeCell ref="AV349:AX349"/>
    <mergeCell ref="AZ349:BB349"/>
    <mergeCell ref="BD349:BF349"/>
    <mergeCell ref="AV448:AX448"/>
    <mergeCell ref="AZ448:BB448"/>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K966:BN966"/>
    <mergeCell ref="BC964:BF964"/>
    <mergeCell ref="BG964:BJ964"/>
    <mergeCell ref="AU963:AX963"/>
    <mergeCell ref="BD692:BF692"/>
    <mergeCell ref="AH539:AJ539"/>
    <mergeCell ref="AL539:AN539"/>
    <mergeCell ref="AP541:AT541"/>
    <mergeCell ref="AX541:AZ541"/>
    <mergeCell ref="BB541:BD541"/>
    <mergeCell ref="AV664:AX664"/>
    <mergeCell ref="AZ664:BB664"/>
    <mergeCell ref="AZ665:BB665"/>
    <mergeCell ref="BD665:BF665"/>
    <mergeCell ref="AF660:AH660"/>
    <mergeCell ref="AJ660:AL660"/>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AU970:AX970"/>
    <mergeCell ref="BD751:BE751"/>
    <mergeCell ref="AV752:AW752"/>
    <mergeCell ref="AV699:AX699"/>
    <mergeCell ref="AZ699:BB699"/>
    <mergeCell ref="BD699:BF699"/>
    <mergeCell ref="AJ692:AL692"/>
    <mergeCell ref="AN692:AP692"/>
    <mergeCell ref="AV692:AX692"/>
    <mergeCell ref="AZ692:BB692"/>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Z764:AA764"/>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AG764:AH764"/>
    <mergeCell ref="AI764:AJ764"/>
    <mergeCell ref="AK764:AL764"/>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AG832:AH832"/>
    <mergeCell ref="AI832:AJ832"/>
    <mergeCell ref="AK832:AL832"/>
    <mergeCell ref="AM832:AN832"/>
    <mergeCell ref="AE833:AF833"/>
    <mergeCell ref="AG833:AH833"/>
    <mergeCell ref="AI833:AJ833"/>
    <mergeCell ref="AK833:AL833"/>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AX776:AY776"/>
    <mergeCell ref="AE779:AF779"/>
    <mergeCell ref="AG779:AH779"/>
    <mergeCell ref="AI779:AJ779"/>
    <mergeCell ref="AK779:AL779"/>
    <mergeCell ref="AM779:AN779"/>
    <mergeCell ref="AV780:AW780"/>
    <mergeCell ref="AE776:AF776"/>
    <mergeCell ref="AG776:AH776"/>
    <mergeCell ref="AV776:AW776"/>
    <mergeCell ref="AX806:AY806"/>
    <mergeCell ref="AO786:AP786"/>
    <mergeCell ref="AV791:AW791"/>
    <mergeCell ref="AX791:AY791"/>
    <mergeCell ref="AV792:AW792"/>
    <mergeCell ref="AX792:AY792"/>
    <mergeCell ref="AZ776:BA776"/>
    <mergeCell ref="BB776:BC776"/>
    <mergeCell ref="BD776:BE776"/>
    <mergeCell ref="AV777:AW777"/>
    <mergeCell ref="AX777:AY777"/>
    <mergeCell ref="AK781:AL781"/>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74" t="str">
        <f>X!$C$285</f>
        <v>indietro alla panoramica (1)</v>
      </c>
      <c r="J2" s="1574"/>
      <c r="K2" s="1574"/>
      <c r="L2" s="1574"/>
      <c r="M2" s="1574"/>
      <c r="N2" s="1574"/>
      <c r="O2" s="1574"/>
      <c r="X2" s="706"/>
      <c r="Y2" s="689" t="s">
        <v>12</v>
      </c>
      <c r="Z2" s="1574" t="str">
        <f>X!$C$284</f>
        <v>al calcolo TEWI (3)</v>
      </c>
      <c r="AA2" s="1574"/>
      <c r="AB2" s="1574"/>
      <c r="AC2" s="1574"/>
      <c r="AD2" s="1574"/>
      <c r="AE2" s="1574"/>
      <c r="AF2" s="1574"/>
      <c r="AG2" s="1574"/>
      <c r="AR2" s="440">
        <f>X!E8</f>
        <v>0</v>
      </c>
      <c r="AS2" s="440">
        <f>X!F8</f>
        <v>0</v>
      </c>
      <c r="AT2" s="440">
        <f>X!G8</f>
        <v>1</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Calcolo del fabbisogno di elettricità con il valore SEER</v>
      </c>
      <c r="AK11" t="str">
        <f>X!C451</f>
        <v>Questo calcolo semplificato con il valore SEER è adatto solo per i sistemi di refrigerazione con refrigeratore di liquido per applicazioni di freddo di climatizzazione</v>
      </c>
      <c r="CI11" s="63" t="s">
        <v>1700</v>
      </c>
    </row>
    <row r="12" spans="5:153" ht="12" hidden="1" customHeight="1" outlineLevel="2" x14ac:dyDescent="0.15">
      <c r="E12" s="63"/>
      <c r="F12" s="902"/>
      <c r="R12" t="s">
        <v>1616</v>
      </c>
      <c r="U12" s="1031" t="str">
        <f>X!C450</f>
        <v>2B: Calcolo del fabbisogno di elettricità con il valore SEPR</v>
      </c>
      <c r="AK12" t="str">
        <f>X!C452</f>
        <v>Questo calcolo semplificato con il valore SEPR è adatto solo per i sistemi di refrigerazione con refrigeratori di liquido per freddo di processo.</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Calcolare il fabbisogno di elettricità nel foglio 2A (ritorno a 1 specifiche dell'impianto)</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Calcolare il fabbisogno di elettricità nel foglio 2A (ritorno a 1 specifiche dell'impianto)</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Secondo le specifiche, lei ha scelto un metodo di calcolo diverso.</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Efficienza per il freddo</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Strumento per prognosi di consumo elettrico, impatto ambientale e costo del ciclo di vita per impianti di refrigerazione e climatizzazione</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Secondo le specifiche, lei ha scelto un metodo di calcolo diverso.</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270" t="str">
        <f>IF(Z17=0,AH17,IF(M11=R11,AK11,IF(M11=R12,AK12,AH17)))</f>
        <v>Calcolare il fabbisogno di elettricità nel foglio 2A (ritorno a 1 specifiche dell'impianto)</v>
      </c>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70"/>
      <c r="AS31" s="1270"/>
      <c r="AT31" s="1270"/>
      <c r="AU31" s="1270"/>
      <c r="AV31" s="1270"/>
      <c r="AW31" s="1270"/>
      <c r="AX31" s="1270"/>
      <c r="AY31" s="1270"/>
      <c r="AZ31" s="1270"/>
      <c r="BA31" s="1270"/>
      <c r="BB31" s="1270"/>
      <c r="BC31" s="1270"/>
      <c r="BD31" s="1270"/>
      <c r="BE31" s="1270"/>
      <c r="BF31" s="1270"/>
      <c r="BG31" s="1270"/>
      <c r="BH31" s="1270"/>
      <c r="BI31" s="1270"/>
      <c r="BJ31" s="1270"/>
      <c r="BK31" s="1270"/>
      <c r="BL31" s="1270"/>
      <c r="BM31" s="1270"/>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44">
        <f>'1 System specification'!Q87</f>
        <v>0</v>
      </c>
      <c r="I35" s="1244"/>
      <c r="J35" s="1244"/>
      <c r="K35" s="1244"/>
      <c r="L35" s="1244"/>
      <c r="M35" s="1244"/>
      <c r="N35" s="1244"/>
      <c r="O35" s="1244"/>
      <c r="P35" s="1244"/>
      <c r="Q35" s="1244"/>
      <c r="R35" s="1244"/>
      <c r="S35" s="1244"/>
      <c r="T35" s="36"/>
      <c r="U35" s="36"/>
      <c r="V35" s="1248">
        <f ca="1">IF('1 System specification'!AP87="",TODAY(),'1 System specification'!AP87)</f>
        <v>45824</v>
      </c>
      <c r="W35" s="1248"/>
      <c r="X35" s="1248"/>
      <c r="Y35" s="1248"/>
      <c r="Z35" s="1248"/>
      <c r="AA35" s="36"/>
      <c r="AB35" s="1244">
        <f>'1 System specification'!AP94</f>
        <v>0</v>
      </c>
      <c r="AC35" s="1244"/>
      <c r="AD35" s="1244"/>
      <c r="AE35" s="1244"/>
      <c r="AF35" s="1244"/>
      <c r="AG35" s="1244"/>
      <c r="AH35" s="1244"/>
      <c r="AI35" s="1244"/>
      <c r="AJ35" s="1244"/>
      <c r="AK35" s="36"/>
      <c r="AL35" s="1244">
        <f>'1 System specification'!Q94</f>
        <v>0</v>
      </c>
      <c r="AM35" s="1244"/>
      <c r="AN35" s="1244"/>
      <c r="AO35" s="1244"/>
      <c r="AP35" s="1244"/>
      <c r="AQ35" s="1244"/>
      <c r="AR35" s="1244"/>
      <c r="AS35" s="1244"/>
      <c r="AT35" s="1244"/>
      <c r="AU35" s="1244"/>
      <c r="AV35" s="1244"/>
      <c r="AX35" s="1409" t="str">
        <f>'1 System specification'!AO80</f>
        <v>Versione 6.3 (2025): valida fino al 30 maggio 2026</v>
      </c>
      <c r="AY35" s="1409"/>
      <c r="AZ35" s="1409"/>
      <c r="BA35" s="1409"/>
      <c r="BB35" s="1409"/>
      <c r="BC35" s="1409"/>
      <c r="BD35" s="1409"/>
      <c r="BE35" s="1409"/>
      <c r="BF35" s="1409"/>
      <c r="BG35" s="1409"/>
      <c r="BH35" s="1409"/>
      <c r="BI35" s="1409"/>
      <c r="BJ35" s="1409"/>
      <c r="BK35" s="1409"/>
      <c r="BL35" s="1409"/>
      <c r="BM35" s="1409"/>
      <c r="BN35" s="1409"/>
      <c r="BO35" s="1409"/>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Dati di base</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Fabbisogno potenza di refrigerazione</v>
      </c>
      <c r="I43" s="74"/>
      <c r="J43" s="74"/>
      <c r="K43" s="74"/>
      <c r="M43" s="74"/>
      <c r="P43" s="74"/>
      <c r="Q43" s="74"/>
      <c r="U43" s="95" t="s">
        <v>83</v>
      </c>
      <c r="W43" s="74"/>
      <c r="X43" s="1419"/>
      <c r="Y43" s="1419"/>
      <c r="Z43" s="1420"/>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Temperatura aria ambiente</v>
      </c>
      <c r="I45" s="74"/>
      <c r="J45" s="74"/>
      <c r="K45" s="74"/>
      <c r="M45" s="74"/>
      <c r="P45" s="74"/>
      <c r="Q45" s="74"/>
      <c r="U45" s="95" t="s">
        <v>85</v>
      </c>
      <c r="W45" s="74"/>
      <c r="X45" s="1419"/>
      <c r="Y45" s="1419"/>
      <c r="Z45" s="1420"/>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Sede (il clima corrisponde circa a...)</v>
      </c>
      <c r="I47" s="74"/>
      <c r="J47" s="74"/>
      <c r="K47" s="74"/>
      <c r="M47" s="74"/>
      <c r="P47" s="74"/>
      <c r="Q47" s="74"/>
      <c r="U47" s="95"/>
      <c r="W47" s="74"/>
      <c r="X47" s="1416"/>
      <c r="Y47" s="1416"/>
      <c r="Z47" s="1416"/>
      <c r="AA47" s="1416"/>
      <c r="AB47" s="1416"/>
      <c r="AC47" s="1416"/>
      <c r="AD47" s="1416"/>
      <c r="AE47" s="1416"/>
      <c r="AF47" s="1416"/>
      <c r="AG47" s="1416"/>
      <c r="AH47" s="1416"/>
      <c r="AI47" s="1416"/>
      <c r="AJ47" s="1416"/>
      <c r="AK47" s="1416"/>
      <c r="AL47" s="1416"/>
      <c r="AM47" s="1416"/>
      <c r="AN47" s="1416"/>
      <c r="AO47" s="1416"/>
      <c r="AP47" s="1417"/>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416"/>
      <c r="Y50" s="1416"/>
      <c r="Z50" s="1416"/>
      <c r="AA50" s="1416"/>
      <c r="AB50" s="1416"/>
      <c r="AC50" s="1416"/>
      <c r="AD50" s="1416"/>
      <c r="AE50" s="1416"/>
      <c r="AF50" s="1416"/>
      <c r="AG50" s="1416"/>
      <c r="AH50" s="1416"/>
      <c r="AI50" s="1416"/>
      <c r="AJ50" s="1416"/>
      <c r="AK50" s="1416"/>
      <c r="AL50" s="1416"/>
      <c r="AM50" s="1416"/>
      <c r="AN50" s="1416"/>
      <c r="AO50" s="1416"/>
      <c r="AP50" s="1417"/>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Temperatura acqua fredda</v>
      </c>
      <c r="I52" s="722"/>
      <c r="J52" s="722"/>
      <c r="K52" s="722"/>
      <c r="L52" s="722"/>
      <c r="M52" s="722"/>
      <c r="N52" s="722"/>
      <c r="O52" s="722"/>
      <c r="P52" s="722"/>
      <c r="Q52" s="722"/>
      <c r="R52" s="722"/>
      <c r="S52" s="722"/>
      <c r="T52" s="722"/>
      <c r="U52" s="723" t="s">
        <v>85</v>
      </c>
      <c r="V52" s="730"/>
      <c r="W52" s="722"/>
      <c r="X52" s="1552"/>
      <c r="Y52" s="1552"/>
      <c r="Z52" s="1553"/>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Scelta dell'impianto di refrigerazione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26">
        <f>'1 System specification'!W243</f>
        <v>1</v>
      </c>
      <c r="AW57" s="1426"/>
      <c r="AX57" s="1426"/>
      <c r="AY57" s="1426"/>
      <c r="AZ57" s="1426"/>
      <c r="BA57" s="1426"/>
      <c r="BB57" s="1426"/>
      <c r="BC57" s="1426"/>
      <c r="BD57" s="1426"/>
      <c r="BE57" s="1426"/>
      <c r="BF57" s="1426"/>
      <c r="BG57" s="1426"/>
      <c r="BH57" s="1426"/>
      <c r="BI57" s="1426"/>
      <c r="BJ57" s="1426"/>
      <c r="BK57" s="1426"/>
      <c r="BL57" s="1426"/>
      <c r="BM57" s="1426"/>
      <c r="BN57" s="1426"/>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22" t="str">
        <f>X!C399</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59" s="1222"/>
      <c r="J59" s="1222"/>
      <c r="K59" s="1222"/>
      <c r="L59" s="1222"/>
      <c r="M59" s="1222"/>
      <c r="N59" s="1222"/>
      <c r="O59" s="1222"/>
      <c r="P59" s="1222"/>
      <c r="Q59" s="1222"/>
      <c r="R59" s="1222"/>
      <c r="S59" s="1222"/>
      <c r="T59" s="1222"/>
      <c r="U59" s="1222"/>
      <c r="V59" s="1222"/>
      <c r="W59" s="1222"/>
      <c r="X59" s="1222"/>
      <c r="Y59" s="1222"/>
      <c r="Z59" s="1222"/>
      <c r="AA59" s="1222"/>
      <c r="AB59" s="1222"/>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Temperature</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Temperatura acqua fredda</v>
      </c>
      <c r="J65" s="74"/>
      <c r="K65" s="74"/>
      <c r="L65" s="74"/>
      <c r="M65" s="74"/>
      <c r="N65" s="74"/>
      <c r="O65" s="74"/>
      <c r="P65" s="74"/>
      <c r="Q65" s="74"/>
      <c r="R65" s="74"/>
      <c r="S65" s="74"/>
      <c r="T65" s="74"/>
      <c r="U65" s="95" t="s">
        <v>85</v>
      </c>
      <c r="V65" s="74"/>
      <c r="W65" s="74"/>
      <c r="X65" s="1550"/>
      <c r="Y65" s="1550"/>
      <c r="Z65" s="1551"/>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19"/>
      <c r="AW65" s="1419"/>
      <c r="AX65" s="1420"/>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49" t="str">
        <f>X!$C$207</f>
        <v>Temperatura media dell'acqua di raffreddamento di ritorno</v>
      </c>
      <c r="J67" s="1549"/>
      <c r="K67" s="1549"/>
      <c r="L67" s="1549"/>
      <c r="M67" s="1549"/>
      <c r="N67" s="1549"/>
      <c r="O67" s="1549"/>
      <c r="P67" s="1549"/>
      <c r="Q67" s="1549"/>
      <c r="R67" s="1549"/>
      <c r="S67" s="1549"/>
      <c r="T67" s="1549"/>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49"/>
      <c r="J68" s="1549"/>
      <c r="K68" s="1549"/>
      <c r="L68" s="1549"/>
      <c r="M68" s="1549"/>
      <c r="N68" s="1549"/>
      <c r="O68" s="1549"/>
      <c r="P68" s="1549"/>
      <c r="Q68" s="1549"/>
      <c r="R68" s="1549"/>
      <c r="S68" s="1549"/>
      <c r="T68" s="1549"/>
      <c r="U68" s="95" t="s">
        <v>85</v>
      </c>
      <c r="V68" s="74"/>
      <c r="W68" s="74"/>
      <c r="X68" s="1419"/>
      <c r="Y68" s="1419"/>
      <c r="Z68" s="1420"/>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19"/>
      <c r="AW68" s="1419"/>
      <c r="AX68" s="1420"/>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Caratteristiche Tecniche</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Potenza di raffreddamento delle macchine</v>
      </c>
      <c r="J73" s="74"/>
      <c r="K73" s="74"/>
      <c r="M73" s="74"/>
      <c r="P73" s="74"/>
      <c r="Q73" s="74"/>
      <c r="U73" s="95" t="s">
        <v>83</v>
      </c>
      <c r="W73" s="74"/>
      <c r="X73" s="1419"/>
      <c r="Y73" s="1419"/>
      <c r="Z73" s="1420"/>
      <c r="AA73" s="74"/>
      <c r="AB73" s="74"/>
      <c r="AC73" s="74"/>
      <c r="AD73" s="74"/>
      <c r="AE73" s="74"/>
      <c r="AF73" s="74"/>
      <c r="AG73" s="74"/>
      <c r="AH73" s="74"/>
      <c r="AI73" s="74"/>
      <c r="AJ73" s="74"/>
      <c r="AK73" s="74"/>
      <c r="AL73" s="74"/>
      <c r="AM73" s="74"/>
      <c r="AN73" s="74"/>
      <c r="AO73" s="74"/>
      <c r="AP73" s="74"/>
      <c r="AQ73" s="74"/>
      <c r="AR73" s="74"/>
      <c r="AS73" s="74"/>
      <c r="AT73" s="74"/>
      <c r="AU73" s="74"/>
      <c r="AV73" s="1419"/>
      <c r="AW73" s="1419"/>
      <c r="AX73" s="1420"/>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Potenza elettrica assorbita</v>
      </c>
      <c r="J75" s="74"/>
      <c r="K75" s="74"/>
      <c r="M75" s="74"/>
      <c r="N75" s="74"/>
      <c r="O75" s="74"/>
      <c r="P75" s="74"/>
      <c r="Q75" s="74"/>
      <c r="R75" s="74"/>
      <c r="S75" s="74"/>
      <c r="T75" s="74"/>
      <c r="U75" s="95" t="s">
        <v>83</v>
      </c>
      <c r="V75" s="74"/>
      <c r="W75" s="74"/>
      <c r="X75" s="1419"/>
      <c r="Y75" s="1419"/>
      <c r="Z75" s="1420"/>
      <c r="AA75" s="74"/>
      <c r="AB75" s="107"/>
      <c r="AC75" s="107"/>
      <c r="AD75" s="107"/>
      <c r="AE75" s="107"/>
      <c r="AF75" s="107"/>
      <c r="AG75" s="107"/>
      <c r="AH75" s="107"/>
      <c r="AI75" s="107"/>
      <c r="AJ75" s="107"/>
      <c r="AK75" s="74"/>
      <c r="AL75" s="74"/>
      <c r="AM75" s="74"/>
      <c r="AN75" s="74"/>
      <c r="AO75" s="74"/>
      <c r="AP75" s="74"/>
      <c r="AQ75" s="74"/>
      <c r="AR75" s="74"/>
      <c r="AS75" s="74"/>
      <c r="AT75" s="74"/>
      <c r="AU75" s="74"/>
      <c r="AV75" s="1419"/>
      <c r="AW75" s="1419"/>
      <c r="AX75" s="1420"/>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381"/>
      <c r="Y77" s="1381"/>
      <c r="Z77" s="1382"/>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381"/>
      <c r="AW77" s="1381"/>
      <c r="AX77" s="1382"/>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Refrigerante</v>
      </c>
      <c r="J79" s="74"/>
      <c r="K79" s="74"/>
      <c r="M79" s="74"/>
      <c r="N79" s="74"/>
      <c r="O79" s="74"/>
      <c r="P79" s="74"/>
      <c r="Q79" s="74"/>
      <c r="R79" s="74"/>
      <c r="S79" s="74"/>
      <c r="T79" s="74"/>
      <c r="U79" s="95" t="s">
        <v>15</v>
      </c>
      <c r="V79" s="74"/>
      <c r="W79" s="74"/>
      <c r="X79" s="74"/>
      <c r="Y79" s="74"/>
      <c r="Z79" s="74"/>
      <c r="AA79" s="74"/>
      <c r="AB79" s="1416"/>
      <c r="AC79" s="1416"/>
      <c r="AD79" s="1416"/>
      <c r="AE79" s="1416"/>
      <c r="AF79" s="1416"/>
      <c r="AG79" s="1416"/>
      <c r="AH79" s="1416"/>
      <c r="AI79" s="1416"/>
      <c r="AJ79" s="1416"/>
      <c r="AK79" s="1416"/>
      <c r="AL79" s="1416"/>
      <c r="AM79" s="1416"/>
      <c r="AN79" s="1416"/>
      <c r="AO79" s="1416"/>
      <c r="AP79" s="1417"/>
      <c r="AQ79" s="74"/>
      <c r="AR79" s="74"/>
      <c r="AS79" s="74"/>
      <c r="AT79" s="74"/>
      <c r="AY79" s="74"/>
      <c r="AZ79" s="1416"/>
      <c r="BA79" s="1416"/>
      <c r="BB79" s="1416"/>
      <c r="BC79" s="1416"/>
      <c r="BD79" s="1416"/>
      <c r="BE79" s="1416"/>
      <c r="BF79" s="1416"/>
      <c r="BG79" s="1416"/>
      <c r="BH79" s="1416"/>
      <c r="BI79" s="1416"/>
      <c r="BJ79" s="1416"/>
      <c r="BK79" s="1416"/>
      <c r="BL79" s="1416"/>
      <c r="BM79" s="1416"/>
      <c r="BN79" s="1417"/>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Aggregati ausiliari «parte caldo»</v>
      </c>
      <c r="J82" s="115"/>
      <c r="K82" s="115"/>
      <c r="L82" s="74"/>
      <c r="M82" s="74"/>
      <c r="X82" s="391" t="str">
        <f>X!$C$191</f>
        <v>P elettrica</v>
      </c>
      <c r="Y82" s="74"/>
      <c r="Z82" s="74"/>
      <c r="AB82" s="391" t="str">
        <f>X!$C$206</f>
        <v>Tipo di regolazione</v>
      </c>
      <c r="AC82" s="74"/>
      <c r="AD82" s="74"/>
      <c r="AE82" s="74"/>
      <c r="AF82" s="74"/>
      <c r="AG82" s="74"/>
      <c r="AH82" s="74"/>
      <c r="AI82" s="74"/>
      <c r="AJ82" s="74"/>
      <c r="AK82" s="74"/>
      <c r="AL82" s="74"/>
      <c r="AM82" s="74"/>
      <c r="AN82" s="74"/>
      <c r="AO82" s="74"/>
      <c r="AP82" s="74"/>
      <c r="AQ82" s="74"/>
      <c r="AR82" s="74"/>
      <c r="AS82" s="74"/>
      <c r="AT82" s="74"/>
      <c r="AU82" s="122"/>
      <c r="AV82" s="391" t="str">
        <f>X!$C$191</f>
        <v>P elettrica</v>
      </c>
      <c r="AW82" s="74"/>
      <c r="AX82" s="74"/>
      <c r="AZ82" s="391" t="str">
        <f>X!$C$206</f>
        <v>Tipo di regolazione</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Pompe circolazione caldo</v>
      </c>
      <c r="J84" s="95"/>
      <c r="K84" s="95"/>
      <c r="M84" s="95"/>
      <c r="N84" s="95"/>
      <c r="O84" s="95"/>
      <c r="P84" s="95"/>
      <c r="Q84" s="95"/>
      <c r="R84" s="95"/>
      <c r="S84" s="95"/>
      <c r="T84" s="95"/>
      <c r="U84" s="95" t="s">
        <v>83</v>
      </c>
      <c r="V84" s="95"/>
      <c r="W84" s="95"/>
      <c r="X84" s="1381"/>
      <c r="Y84" s="1381"/>
      <c r="Z84" s="1382"/>
      <c r="AA84" s="74"/>
      <c r="AB84" s="1416"/>
      <c r="AC84" s="1416"/>
      <c r="AD84" s="1416"/>
      <c r="AE84" s="1416"/>
      <c r="AF84" s="1416"/>
      <c r="AG84" s="1416"/>
      <c r="AH84" s="1416"/>
      <c r="AI84" s="1416"/>
      <c r="AJ84" s="1416"/>
      <c r="AK84" s="1416"/>
      <c r="AL84" s="1416"/>
      <c r="AM84" s="1416"/>
      <c r="AN84" s="1416"/>
      <c r="AO84" s="1416"/>
      <c r="AP84" s="1417"/>
      <c r="AQ84" s="171"/>
      <c r="AR84" s="74"/>
      <c r="AS84" s="74"/>
      <c r="AT84" s="74"/>
      <c r="AU84" s="74"/>
      <c r="AV84" s="1381"/>
      <c r="AW84" s="1381"/>
      <c r="AX84" s="1382"/>
      <c r="AY84" s="74"/>
      <c r="AZ84" s="1416"/>
      <c r="BA84" s="1416"/>
      <c r="BB84" s="1416"/>
      <c r="BC84" s="1416"/>
      <c r="BD84" s="1416"/>
      <c r="BE84" s="1416"/>
      <c r="BF84" s="1416"/>
      <c r="BG84" s="1416"/>
      <c r="BH84" s="1416"/>
      <c r="BI84" s="1416"/>
      <c r="BJ84" s="1416"/>
      <c r="BK84" s="1416"/>
      <c r="BL84" s="1416"/>
      <c r="BM84" s="1416"/>
      <c r="BN84" s="1417"/>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Pompe nebulizzazione</v>
      </c>
      <c r="J86" s="74"/>
      <c r="K86" s="74"/>
      <c r="M86" s="74"/>
      <c r="N86" s="74"/>
      <c r="O86" s="74"/>
      <c r="P86" s="74"/>
      <c r="Q86" s="74"/>
      <c r="R86" s="74"/>
      <c r="S86" s="74"/>
      <c r="T86" s="74"/>
      <c r="U86" s="95" t="s">
        <v>83</v>
      </c>
      <c r="V86" s="74"/>
      <c r="W86" s="74"/>
      <c r="X86" s="1381"/>
      <c r="Y86" s="1381"/>
      <c r="Z86" s="1382"/>
      <c r="AA86" s="74"/>
      <c r="AB86" s="1423"/>
      <c r="AC86" s="1416"/>
      <c r="AD86" s="1416"/>
      <c r="AE86" s="1416"/>
      <c r="AF86" s="1416"/>
      <c r="AG86" s="1416"/>
      <c r="AH86" s="1416"/>
      <c r="AI86" s="1416"/>
      <c r="AJ86" s="1416"/>
      <c r="AK86" s="1416"/>
      <c r="AL86" s="1416"/>
      <c r="AM86" s="1416"/>
      <c r="AN86" s="1416"/>
      <c r="AO86" s="1416"/>
      <c r="AP86" s="1417"/>
      <c r="AQ86" s="171"/>
      <c r="AR86" s="74"/>
      <c r="AS86" s="74"/>
      <c r="AT86" s="74"/>
      <c r="AU86" s="74"/>
      <c r="AV86" s="1381"/>
      <c r="AW86" s="1381"/>
      <c r="AX86" s="1382"/>
      <c r="AY86" s="74"/>
      <c r="AZ86" s="1416"/>
      <c r="BA86" s="1416"/>
      <c r="BB86" s="1416"/>
      <c r="BC86" s="1416"/>
      <c r="BD86" s="1416"/>
      <c r="BE86" s="1416"/>
      <c r="BF86" s="1416"/>
      <c r="BG86" s="1416"/>
      <c r="BH86" s="1416"/>
      <c r="BI86" s="1416"/>
      <c r="BJ86" s="1416"/>
      <c r="BK86" s="1416"/>
      <c r="BL86" s="1416"/>
      <c r="BM86" s="1416"/>
      <c r="BN86" s="1417"/>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Ventilatori raffreddato /condensatore</v>
      </c>
      <c r="J88" s="74"/>
      <c r="K88" s="74"/>
      <c r="M88" s="74"/>
      <c r="N88" s="74"/>
      <c r="O88" s="74"/>
      <c r="P88" s="74"/>
      <c r="Q88" s="74"/>
      <c r="R88" s="74"/>
      <c r="S88" s="74"/>
      <c r="T88" s="74"/>
      <c r="U88" s="95" t="s">
        <v>83</v>
      </c>
      <c r="V88" s="74"/>
      <c r="W88" s="74"/>
      <c r="X88" s="1381"/>
      <c r="Y88" s="1381"/>
      <c r="Z88" s="1382"/>
      <c r="AA88" s="74"/>
      <c r="AB88" s="1416"/>
      <c r="AC88" s="1416"/>
      <c r="AD88" s="1416"/>
      <c r="AE88" s="1416"/>
      <c r="AF88" s="1416"/>
      <c r="AG88" s="1416"/>
      <c r="AH88" s="1416"/>
      <c r="AI88" s="1416"/>
      <c r="AJ88" s="1416"/>
      <c r="AK88" s="1416"/>
      <c r="AL88" s="1416"/>
      <c r="AM88" s="1416"/>
      <c r="AN88" s="1416"/>
      <c r="AO88" s="1416"/>
      <c r="AP88" s="1417"/>
      <c r="AQ88" s="171"/>
      <c r="AR88" s="74"/>
      <c r="AS88" s="74"/>
      <c r="AT88" s="74"/>
      <c r="AU88" s="74"/>
      <c r="AV88" s="1381"/>
      <c r="AW88" s="1381"/>
      <c r="AX88" s="1382"/>
      <c r="AY88" s="74"/>
      <c r="AZ88" s="1416"/>
      <c r="BA88" s="1416"/>
      <c r="BB88" s="1416"/>
      <c r="BC88" s="1416"/>
      <c r="BD88" s="1416"/>
      <c r="BE88" s="1416"/>
      <c r="BF88" s="1416"/>
      <c r="BG88" s="1416"/>
      <c r="BH88" s="1416"/>
      <c r="BI88" s="1416"/>
      <c r="BJ88" s="1416"/>
      <c r="BK88" s="1416"/>
      <c r="BL88" s="1416"/>
      <c r="BM88" s="1416"/>
      <c r="BN88" s="1417"/>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14"/>
      <c r="J90" s="1414"/>
      <c r="K90" s="1414"/>
      <c r="L90" s="1414"/>
      <c r="M90" s="1414"/>
      <c r="N90" s="1414"/>
      <c r="O90" s="1414"/>
      <c r="P90" s="1414"/>
      <c r="Q90" s="1414"/>
      <c r="R90" s="1414"/>
      <c r="S90" s="1415"/>
      <c r="T90" s="74"/>
      <c r="U90" s="95" t="s">
        <v>83</v>
      </c>
      <c r="V90" s="74"/>
      <c r="W90" s="74"/>
      <c r="X90" s="1381"/>
      <c r="Y90" s="1381"/>
      <c r="Z90" s="1382"/>
      <c r="AA90" s="74"/>
      <c r="AB90" s="1416"/>
      <c r="AC90" s="1416"/>
      <c r="AD90" s="1416"/>
      <c r="AE90" s="1416"/>
      <c r="AF90" s="1416"/>
      <c r="AG90" s="1416"/>
      <c r="AH90" s="1416"/>
      <c r="AI90" s="1416"/>
      <c r="AJ90" s="1416"/>
      <c r="AK90" s="1416"/>
      <c r="AL90" s="1416"/>
      <c r="AM90" s="1416"/>
      <c r="AN90" s="1416"/>
      <c r="AO90" s="1416"/>
      <c r="AP90" s="1417"/>
      <c r="AQ90" s="171"/>
      <c r="AR90" s="445" t="s">
        <v>266</v>
      </c>
      <c r="AS90" s="445" t="s">
        <v>266</v>
      </c>
      <c r="AT90" s="445" t="s">
        <v>266</v>
      </c>
      <c r="AU90" s="74"/>
      <c r="AV90" s="1381"/>
      <c r="AW90" s="1381"/>
      <c r="AX90" s="1382"/>
      <c r="AY90" s="74"/>
      <c r="AZ90" s="1416"/>
      <c r="BA90" s="1416"/>
      <c r="BB90" s="1416"/>
      <c r="BC90" s="1416"/>
      <c r="BD90" s="1416"/>
      <c r="BE90" s="1416"/>
      <c r="BF90" s="1416"/>
      <c r="BG90" s="1416"/>
      <c r="BH90" s="1416"/>
      <c r="BI90" s="1416"/>
      <c r="BJ90" s="1416"/>
      <c r="BK90" s="1416"/>
      <c r="BL90" s="1416"/>
      <c r="BM90" s="1416"/>
      <c r="BN90" s="1417"/>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Refrigeratori di liquidi raffreddati ad acqua</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Refrigeratori di liquidi raffreddati ad aria</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Quali informazioni sono registrate sotto quale voce?</v>
      </c>
      <c r="J96" s="784"/>
      <c r="K96" s="784"/>
      <c r="L96" s="784"/>
      <c r="M96" s="784"/>
      <c r="N96" s="784"/>
      <c r="O96" s="784"/>
      <c r="P96" s="784"/>
      <c r="Q96" s="784"/>
      <c r="R96" s="784"/>
      <c r="S96" s="784"/>
      <c r="T96" s="784"/>
      <c r="U96" s="791"/>
      <c r="V96" s="784"/>
      <c r="W96" s="784"/>
      <c r="X96" s="784"/>
      <c r="Y96" s="784"/>
      <c r="Z96" s="784"/>
      <c r="AA96" s="1554"/>
      <c r="AB96" s="1554"/>
      <c r="AC96" s="1554"/>
      <c r="AD96" s="1554"/>
      <c r="AE96" s="1554"/>
      <c r="AF96" s="1581"/>
      <c r="AG96" s="1581"/>
      <c r="AH96" s="1581"/>
      <c r="AI96" s="1581"/>
      <c r="AJ96" s="1581"/>
      <c r="AK96" s="1581"/>
      <c r="AL96" s="1554"/>
      <c r="AM96" s="1554"/>
      <c r="AN96" s="1554"/>
      <c r="AO96" s="1554"/>
      <c r="AP96" s="1554"/>
      <c r="AQ96" s="1554"/>
      <c r="AR96" s="784"/>
      <c r="AS96" s="784"/>
      <c r="AT96" s="784"/>
      <c r="AU96" s="784"/>
      <c r="AV96" s="1554"/>
      <c r="AW96" s="1554"/>
      <c r="AX96" s="1554"/>
      <c r="AY96" s="1554"/>
      <c r="AZ96" s="1554"/>
      <c r="BA96" s="1554"/>
      <c r="BB96" s="1554"/>
      <c r="BC96" s="1554"/>
      <c r="BD96" s="1554"/>
      <c r="BE96" s="1554"/>
      <c r="BF96" s="1554"/>
      <c r="BG96" s="1554"/>
      <c r="BH96" s="1554"/>
      <c r="BI96" s="1554"/>
      <c r="BJ96" s="1554"/>
      <c r="BK96" s="1554"/>
      <c r="BL96" s="1554"/>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Aggregati ausiliari «parte freddo»</v>
      </c>
      <c r="J101" s="115"/>
      <c r="K101" s="115"/>
      <c r="L101" s="74"/>
      <c r="M101" s="74"/>
      <c r="X101" s="74" t="str">
        <f>X82</f>
        <v>P elettrica</v>
      </c>
      <c r="Y101" s="74"/>
      <c r="Z101" s="74"/>
      <c r="AB101" s="74" t="str">
        <f>AB82</f>
        <v>Tipo di regolazione</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elettrica</v>
      </c>
      <c r="AW101" s="74"/>
      <c r="AX101" s="74"/>
      <c r="AZ101" s="74" t="str">
        <f>AZ82</f>
        <v>Tipo di regolazione</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14"/>
      <c r="J103" s="1414"/>
      <c r="K103" s="1414"/>
      <c r="L103" s="1414"/>
      <c r="M103" s="1414"/>
      <c r="N103" s="1414"/>
      <c r="O103" s="1414"/>
      <c r="P103" s="1414"/>
      <c r="Q103" s="1414"/>
      <c r="R103" s="1414"/>
      <c r="S103" s="1415"/>
      <c r="T103" s="74"/>
      <c r="U103" s="95" t="s">
        <v>83</v>
      </c>
      <c r="V103" s="74"/>
      <c r="W103" s="74"/>
      <c r="X103" s="1381"/>
      <c r="Y103" s="1381"/>
      <c r="Z103" s="1382"/>
      <c r="AA103" s="74"/>
      <c r="AB103" s="1416"/>
      <c r="AC103" s="1416"/>
      <c r="AD103" s="1416"/>
      <c r="AE103" s="1416"/>
      <c r="AF103" s="1416"/>
      <c r="AG103" s="1416"/>
      <c r="AH103" s="1416"/>
      <c r="AI103" s="1416"/>
      <c r="AJ103" s="1416"/>
      <c r="AK103" s="1416"/>
      <c r="AL103" s="1416"/>
      <c r="AM103" s="1416"/>
      <c r="AN103" s="1416"/>
      <c r="AO103" s="1416"/>
      <c r="AP103" s="1417"/>
      <c r="AQ103" s="171"/>
      <c r="AR103" s="445" t="s">
        <v>266</v>
      </c>
      <c r="AS103" s="445" t="s">
        <v>266</v>
      </c>
      <c r="AT103" s="445" t="s">
        <v>266</v>
      </c>
      <c r="AU103" s="74"/>
      <c r="AV103" s="1381"/>
      <c r="AW103" s="1381"/>
      <c r="AX103" s="1382"/>
      <c r="AY103" s="74"/>
      <c r="AZ103" s="1416"/>
      <c r="BA103" s="1416"/>
      <c r="BB103" s="1416"/>
      <c r="BC103" s="1416"/>
      <c r="BD103" s="1416"/>
      <c r="BE103" s="1416"/>
      <c r="BF103" s="1416"/>
      <c r="BG103" s="1416"/>
      <c r="BH103" s="1416"/>
      <c r="BI103" s="1416"/>
      <c r="BJ103" s="1416"/>
      <c r="BK103" s="1416"/>
      <c r="BL103" s="1416"/>
      <c r="BM103" s="1416"/>
      <c r="BN103" s="1417"/>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14"/>
      <c r="J105" s="1414"/>
      <c r="K105" s="1414"/>
      <c r="L105" s="1414"/>
      <c r="M105" s="1414"/>
      <c r="N105" s="1414"/>
      <c r="O105" s="1414"/>
      <c r="P105" s="1414"/>
      <c r="Q105" s="1414"/>
      <c r="R105" s="1414"/>
      <c r="S105" s="1415"/>
      <c r="T105" s="74"/>
      <c r="U105" s="95" t="s">
        <v>83</v>
      </c>
      <c r="V105" s="74"/>
      <c r="W105" s="74"/>
      <c r="X105" s="1381"/>
      <c r="Y105" s="1381"/>
      <c r="Z105" s="1382"/>
      <c r="AA105" s="74"/>
      <c r="AB105" s="1416"/>
      <c r="AC105" s="1416"/>
      <c r="AD105" s="1416"/>
      <c r="AE105" s="1416"/>
      <c r="AF105" s="1416"/>
      <c r="AG105" s="1416"/>
      <c r="AH105" s="1416"/>
      <c r="AI105" s="1416"/>
      <c r="AJ105" s="1416"/>
      <c r="AK105" s="1416"/>
      <c r="AL105" s="1416"/>
      <c r="AM105" s="1416"/>
      <c r="AN105" s="1416"/>
      <c r="AO105" s="1416"/>
      <c r="AP105" s="1417"/>
      <c r="AQ105" s="171"/>
      <c r="AR105" s="445" t="s">
        <v>266</v>
      </c>
      <c r="AS105" s="445" t="s">
        <v>266</v>
      </c>
      <c r="AT105" s="445" t="s">
        <v>266</v>
      </c>
      <c r="AU105" s="74"/>
      <c r="AV105" s="1381"/>
      <c r="AW105" s="1381"/>
      <c r="AX105" s="1382"/>
      <c r="AY105" s="74"/>
      <c r="AZ105" s="1416"/>
      <c r="BA105" s="1416"/>
      <c r="BB105" s="1416"/>
      <c r="BC105" s="1416"/>
      <c r="BD105" s="1416"/>
      <c r="BE105" s="1416"/>
      <c r="BF105" s="1416"/>
      <c r="BG105" s="1416"/>
      <c r="BH105" s="1416"/>
      <c r="BI105" s="1416"/>
      <c r="BJ105" s="1416"/>
      <c r="BK105" s="1416"/>
      <c r="BL105" s="1416"/>
      <c r="BM105" s="1416"/>
      <c r="BN105" s="1417"/>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Scambiatore di calore</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Funzionamento dello scambiatore di calore</v>
      </c>
      <c r="K109" s="74"/>
      <c r="L109" s="74"/>
      <c r="M109" s="74"/>
      <c r="N109" s="74"/>
      <c r="O109" s="74"/>
      <c r="P109" s="74"/>
      <c r="Q109" s="74"/>
      <c r="R109" s="74"/>
      <c r="S109" s="74"/>
      <c r="T109" s="74"/>
      <c r="U109" s="95"/>
      <c r="V109" s="74"/>
      <c r="W109" s="74"/>
      <c r="X109" s="74"/>
      <c r="Y109" s="74"/>
      <c r="Z109" s="74"/>
      <c r="AA109" s="74"/>
      <c r="AB109" s="1416"/>
      <c r="AC109" s="1416"/>
      <c r="AD109" s="1416"/>
      <c r="AE109" s="1416"/>
      <c r="AF109" s="1416"/>
      <c r="AG109" s="1416"/>
      <c r="AH109" s="1416"/>
      <c r="AI109" s="1416"/>
      <c r="AJ109" s="1416"/>
      <c r="AK109" s="1416"/>
      <c r="AL109" s="1416"/>
      <c r="AM109" s="1416"/>
      <c r="AN109" s="1416"/>
      <c r="AO109" s="1416"/>
      <c r="AP109" s="1417"/>
      <c r="AQ109" s="32"/>
      <c r="AR109" s="32"/>
      <c r="AS109" s="32"/>
      <c r="AT109" s="32"/>
      <c r="AU109" s="74"/>
      <c r="AV109" s="74"/>
      <c r="AW109" s="74"/>
      <c r="AX109" s="74"/>
      <c r="AY109" s="74"/>
      <c r="AZ109" s="1416"/>
      <c r="BA109" s="1416"/>
      <c r="BB109" s="1416"/>
      <c r="BC109" s="1416"/>
      <c r="BD109" s="1416"/>
      <c r="BE109" s="1416"/>
      <c r="BF109" s="1416"/>
      <c r="BG109" s="1416"/>
      <c r="BH109" s="1416"/>
      <c r="BI109" s="1416"/>
      <c r="BJ109" s="1416"/>
      <c r="BK109" s="1416"/>
      <c r="BL109" s="1416"/>
      <c r="BM109" s="1416"/>
      <c r="BN109" s="1417"/>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Vuole stimare il contributo del free-cooling?</v>
      </c>
      <c r="K115" s="74"/>
      <c r="L115" s="74"/>
      <c r="M115" s="74"/>
      <c r="N115" s="74"/>
      <c r="O115" s="74"/>
      <c r="P115" s="74"/>
      <c r="Q115" s="74"/>
      <c r="R115" s="74"/>
      <c r="S115" s="74"/>
      <c r="T115" s="74"/>
      <c r="U115" s="95"/>
      <c r="V115" s="74"/>
      <c r="W115" s="74"/>
      <c r="X115" s="74"/>
      <c r="Y115" s="74"/>
      <c r="Z115" s="74"/>
      <c r="AA115" s="74"/>
      <c r="AB115" s="1416"/>
      <c r="AC115" s="1416"/>
      <c r="AD115" s="1416"/>
      <c r="AE115" s="1416"/>
      <c r="AF115" s="1416"/>
      <c r="AG115" s="1416"/>
      <c r="AH115" s="1416"/>
      <c r="AI115" s="1416"/>
      <c r="AJ115" s="1416"/>
      <c r="AK115" s="1416"/>
      <c r="AL115" s="1416"/>
      <c r="AM115" s="1416"/>
      <c r="AN115" s="1416"/>
      <c r="AO115" s="1416"/>
      <c r="AP115" s="1417"/>
      <c r="AQ115" s="32"/>
      <c r="AR115" s="32"/>
      <c r="AS115" s="32"/>
      <c r="AT115" s="32"/>
      <c r="AU115" s="74"/>
      <c r="AV115" s="74"/>
      <c r="AW115" s="74"/>
      <c r="AX115" s="74"/>
      <c r="AY115" s="74"/>
      <c r="AZ115" s="1416"/>
      <c r="BA115" s="1416"/>
      <c r="BB115" s="1416"/>
      <c r="BC115" s="1416"/>
      <c r="BD115" s="1416"/>
      <c r="BE115" s="1416"/>
      <c r="BF115" s="1416"/>
      <c r="BG115" s="1416"/>
      <c r="BH115" s="1416"/>
      <c r="BI115" s="1416"/>
      <c r="BJ115" s="1416"/>
      <c r="BK115" s="1416"/>
      <c r="BL115" s="1416"/>
      <c r="BM115" s="1416"/>
      <c r="BN115" s="1417"/>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21" t="str">
        <f>IF(X65&lt;H352,IF(AB115=H323,X!C471,""),"")</f>
        <v/>
      </c>
      <c r="AC116" s="1521"/>
      <c r="AD116" s="1521"/>
      <c r="AE116" s="1521"/>
      <c r="AF116" s="1521"/>
      <c r="AG116" s="1521"/>
      <c r="AH116" s="1521"/>
      <c r="AI116" s="1521"/>
      <c r="AJ116" s="1521"/>
      <c r="AK116" s="1521"/>
      <c r="AL116" s="1521"/>
      <c r="AM116" s="1521"/>
      <c r="AN116" s="1521"/>
      <c r="AO116" s="1521"/>
      <c r="AP116" s="1521"/>
      <c r="AQ116" s="32"/>
      <c r="AR116" s="32"/>
      <c r="AS116" s="32"/>
      <c r="AT116" s="32"/>
      <c r="AU116" s="74"/>
      <c r="AV116" s="74"/>
      <c r="AW116" s="74"/>
      <c r="AX116" s="74"/>
      <c r="AZ116" s="1523" t="str">
        <f>IF(AV65&lt;H352,IF(AZ115=H323,X!C471,""),"")</f>
        <v/>
      </c>
      <c r="BA116" s="1523"/>
      <c r="BB116" s="1523"/>
      <c r="BC116" s="1523"/>
      <c r="BD116" s="1523"/>
      <c r="BE116" s="1523"/>
      <c r="BF116" s="1523"/>
      <c r="BG116" s="1523"/>
      <c r="BH116" s="1523"/>
      <c r="BI116" s="1523"/>
      <c r="BJ116" s="1523"/>
      <c r="BK116" s="1523"/>
      <c r="BL116" s="1523"/>
      <c r="BM116" s="1523"/>
      <c r="BN116" s="1523"/>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22"/>
      <c r="AC117" s="1522"/>
      <c r="AD117" s="1522"/>
      <c r="AE117" s="1522"/>
      <c r="AF117" s="1522"/>
      <c r="AG117" s="1522"/>
      <c r="AH117" s="1522"/>
      <c r="AI117" s="1522"/>
      <c r="AJ117" s="1522"/>
      <c r="AK117" s="1522"/>
      <c r="AL117" s="1522"/>
      <c r="AM117" s="1522"/>
      <c r="AN117" s="1522"/>
      <c r="AO117" s="1522"/>
      <c r="AP117" s="1522"/>
      <c r="AY117" s="74"/>
      <c r="AZ117" s="1217"/>
      <c r="BA117" s="1217"/>
      <c r="BB117" s="1217"/>
      <c r="BC117" s="1217"/>
      <c r="BD117" s="1217"/>
      <c r="BE117" s="1217"/>
      <c r="BF117" s="1217"/>
      <c r="BG117" s="1217"/>
      <c r="BH117" s="1217"/>
      <c r="BI117" s="1217"/>
      <c r="BJ117" s="1217"/>
      <c r="BK117" s="1217"/>
      <c r="BL117" s="1217"/>
      <c r="BM117" s="1217"/>
      <c r="BN117" s="121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Altri strumenti ausiliari</v>
      </c>
      <c r="J119" s="392"/>
      <c r="K119" s="115"/>
      <c r="L119" s="74"/>
      <c r="M119" s="74"/>
      <c r="Y119" s="32"/>
      <c r="Z119" s="388" t="str">
        <f>X!$C$191</f>
        <v>P elettrica</v>
      </c>
      <c r="AA119" s="120"/>
      <c r="AB119" s="389" t="str">
        <f>X!$C$206</f>
        <v>Tipo di regolazione</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elettrica</v>
      </c>
      <c r="AY119" s="120"/>
      <c r="AZ119" s="389" t="str">
        <f>X!$C$206</f>
        <v>Tipo di regolazione</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14"/>
      <c r="J121" s="1414"/>
      <c r="K121" s="1414"/>
      <c r="L121" s="1414"/>
      <c r="M121" s="1414"/>
      <c r="N121" s="1414"/>
      <c r="O121" s="1414"/>
      <c r="P121" s="1414"/>
      <c r="Q121" s="1414"/>
      <c r="R121" s="1414"/>
      <c r="S121" s="1415"/>
      <c r="T121" s="74"/>
      <c r="U121" s="95" t="s">
        <v>83</v>
      </c>
      <c r="V121" s="74"/>
      <c r="W121" s="74"/>
      <c r="X121" s="1428"/>
      <c r="Y121" s="1428"/>
      <c r="Z121" s="1429"/>
      <c r="AA121" s="74"/>
      <c r="AB121" s="1416"/>
      <c r="AC121" s="1416"/>
      <c r="AD121" s="1416"/>
      <c r="AE121" s="1416"/>
      <c r="AF121" s="1416"/>
      <c r="AG121" s="1416"/>
      <c r="AH121" s="1416"/>
      <c r="AI121" s="1416"/>
      <c r="AJ121" s="1416"/>
      <c r="AK121" s="1416"/>
      <c r="AL121" s="1416"/>
      <c r="AM121" s="1416"/>
      <c r="AN121" s="1416"/>
      <c r="AO121" s="1416"/>
      <c r="AP121" s="1417"/>
      <c r="AQ121" s="32"/>
      <c r="AR121" s="32"/>
      <c r="AS121" s="32"/>
      <c r="AT121" s="32"/>
      <c r="AU121" s="74"/>
      <c r="AV121" s="1428"/>
      <c r="AW121" s="1428"/>
      <c r="AX121" s="1429"/>
      <c r="AY121" s="74"/>
      <c r="AZ121" s="1580"/>
      <c r="BA121" s="1416"/>
      <c r="BB121" s="1416"/>
      <c r="BC121" s="1416"/>
      <c r="BD121" s="1416"/>
      <c r="BE121" s="1416"/>
      <c r="BF121" s="1416"/>
      <c r="BG121" s="1416"/>
      <c r="BH121" s="1416"/>
      <c r="BI121" s="1416"/>
      <c r="BJ121" s="1416"/>
      <c r="BK121" s="1416"/>
      <c r="BL121" s="1416"/>
      <c r="BM121" s="1416"/>
      <c r="BN121" s="1417"/>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Inserimento dati d'esercizio</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371" t="str">
        <f>X!$C$36</f>
        <v>Temperatura esterna (5:40 - 17:40 h)</v>
      </c>
      <c r="I130" s="1371"/>
      <c r="J130" s="1371"/>
      <c r="K130" s="1371"/>
      <c r="L130" s="1371"/>
      <c r="M130" s="1371"/>
      <c r="N130" s="1371"/>
      <c r="O130" s="1371"/>
      <c r="P130" s="1371"/>
      <c r="Q130" s="1371"/>
      <c r="R130" s="1371"/>
      <c r="S130" s="1371"/>
      <c r="T130" s="1371"/>
      <c r="U130" s="1371"/>
      <c r="V130" s="1371"/>
      <c r="X130" s="1385" t="str">
        <f>X!$C$114</f>
        <v>Primavera</v>
      </c>
      <c r="Y130" s="1350"/>
      <c r="Z130" s="1350"/>
      <c r="AB130" s="1401" t="str">
        <f>X!$C$212</f>
        <v>Estate</v>
      </c>
      <c r="AC130" s="1436"/>
      <c r="AD130" s="1436"/>
      <c r="AF130" s="1385" t="str">
        <f>X!$C$120</f>
        <v>Autunno</v>
      </c>
      <c r="AG130" s="1350"/>
      <c r="AH130" s="1350"/>
      <c r="AJ130" s="1385" t="str">
        <f>X!$C$269</f>
        <v>Inverno</v>
      </c>
      <c r="AK130" s="1350"/>
      <c r="AL130" s="1350"/>
      <c r="AN130" s="1385" t="str">
        <f>X!$C$130</f>
        <v>Anno</v>
      </c>
      <c r="AO130" s="1350"/>
      <c r="AP130" s="1350"/>
      <c r="AQ130" s="58"/>
      <c r="AV130" s="1350" t="str">
        <f>X130</f>
        <v>Primavera</v>
      </c>
      <c r="AW130" s="1350"/>
      <c r="AX130" s="1350"/>
      <c r="AZ130" s="1350" t="str">
        <f>AB130</f>
        <v>Estate</v>
      </c>
      <c r="BA130" s="1350"/>
      <c r="BB130" s="1350"/>
      <c r="BD130" s="1350" t="str">
        <f>AF130</f>
        <v>Autunno</v>
      </c>
      <c r="BE130" s="1350"/>
      <c r="BF130" s="1350"/>
      <c r="BH130" s="1350" t="str">
        <f>AJ130</f>
        <v>Inverno</v>
      </c>
      <c r="BI130" s="1350"/>
      <c r="BJ130" s="1350"/>
      <c r="BL130" s="1350" t="str">
        <f>AN130</f>
        <v>Anno</v>
      </c>
      <c r="BM130" s="1350"/>
      <c r="BN130" s="135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371"/>
      <c r="I131" s="1371"/>
      <c r="J131" s="1371"/>
      <c r="K131" s="1371"/>
      <c r="L131" s="1371"/>
      <c r="M131" s="1371"/>
      <c r="N131" s="1371"/>
      <c r="O131" s="1371"/>
      <c r="P131" s="1371"/>
      <c r="Q131" s="1371"/>
      <c r="R131" s="1371"/>
      <c r="S131" s="1371"/>
      <c r="T131" s="1371"/>
      <c r="U131" s="1371"/>
      <c r="V131" s="1371"/>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377">
        <f>AD595</f>
        <v>0</v>
      </c>
      <c r="Y132" s="1377"/>
      <c r="Z132" s="1377"/>
      <c r="AA132" s="132"/>
      <c r="AB132" s="1377">
        <f>AD606</f>
        <v>0</v>
      </c>
      <c r="AC132" s="1377"/>
      <c r="AD132" s="1377"/>
      <c r="AE132" s="133"/>
      <c r="AF132" s="1377">
        <f>AD616</f>
        <v>0</v>
      </c>
      <c r="AG132" s="1377"/>
      <c r="AH132" s="1377"/>
      <c r="AI132" s="133"/>
      <c r="AJ132" s="1377">
        <f>AD626</f>
        <v>0</v>
      </c>
      <c r="AK132" s="1377"/>
      <c r="AL132" s="1377"/>
      <c r="AM132" s="106"/>
      <c r="AN132" s="1435">
        <f>AVERAGE(X132:AL132)</f>
        <v>0</v>
      </c>
      <c r="AO132" s="1435"/>
      <c r="AP132" s="1435"/>
      <c r="AQ132" s="136"/>
      <c r="AR132" s="106"/>
      <c r="AS132" s="106"/>
      <c r="AT132" s="106"/>
      <c r="AU132" s="106"/>
      <c r="AV132" s="1377">
        <f>X132</f>
        <v>0</v>
      </c>
      <c r="AW132" s="1293"/>
      <c r="AX132" s="1293"/>
      <c r="AY132" s="106"/>
      <c r="AZ132" s="1377">
        <f>AB132</f>
        <v>0</v>
      </c>
      <c r="BA132" s="1293"/>
      <c r="BB132" s="1293"/>
      <c r="BC132" s="135"/>
      <c r="BD132" s="1377">
        <f>AF132</f>
        <v>0</v>
      </c>
      <c r="BE132" s="1293"/>
      <c r="BF132" s="1293"/>
      <c r="BG132" s="135"/>
      <c r="BH132" s="1377">
        <f>AJ132</f>
        <v>0</v>
      </c>
      <c r="BI132" s="1293"/>
      <c r="BJ132" s="1293"/>
      <c r="BK132" s="106"/>
      <c r="BL132" s="1435">
        <f>AN132</f>
        <v>0</v>
      </c>
      <c r="BM132" s="1359"/>
      <c r="BN132" s="1359"/>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33"/>
      <c r="Y134" s="1433"/>
      <c r="Z134" s="1434"/>
      <c r="AA134" s="132"/>
      <c r="AB134" s="1433"/>
      <c r="AC134" s="1433"/>
      <c r="AD134" s="1434"/>
      <c r="AE134" s="133"/>
      <c r="AF134" s="1433"/>
      <c r="AG134" s="1433"/>
      <c r="AH134" s="1434"/>
      <c r="AI134" s="133"/>
      <c r="AJ134" s="1433"/>
      <c r="AK134" s="1433"/>
      <c r="AL134" s="1434"/>
      <c r="AM134" s="106"/>
      <c r="AN134" s="1303">
        <f>IF(SUM(X134:AL134)=0,0,AVERAGE(X134:AL134))</f>
        <v>0</v>
      </c>
      <c r="AO134" s="1303"/>
      <c r="AP134" s="1303"/>
      <c r="AQ134" s="152"/>
      <c r="AR134" s="70"/>
      <c r="AS134" s="70"/>
      <c r="AT134" s="70"/>
      <c r="AU134" s="70"/>
      <c r="AV134" s="1433"/>
      <c r="AW134" s="1433"/>
      <c r="AX134" s="1434"/>
      <c r="AY134" s="132"/>
      <c r="AZ134" s="1433"/>
      <c r="BA134" s="1433"/>
      <c r="BB134" s="1434"/>
      <c r="BC134" s="133"/>
      <c r="BD134" s="1433"/>
      <c r="BE134" s="1433"/>
      <c r="BF134" s="1434"/>
      <c r="BG134" s="133"/>
      <c r="BH134" s="1433"/>
      <c r="BI134" s="1433"/>
      <c r="BJ134" s="1434"/>
      <c r="BK134" s="106"/>
      <c r="BL134" s="1435">
        <f>IF(SUM(AV134:BJ134)=0,0,AVERAGE(AV134:BJ134))</f>
        <v>0</v>
      </c>
      <c r="BM134" s="1359"/>
      <c r="BN134" s="1359"/>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Ore d'esercizio a pieno regime della macchina</v>
      </c>
      <c r="X137" s="1368"/>
      <c r="Y137" s="1368"/>
      <c r="Z137" s="1368"/>
      <c r="AB137" s="1293"/>
      <c r="AC137" s="1293"/>
      <c r="AD137" s="1293"/>
      <c r="AF137" s="1301"/>
      <c r="AG137" s="1301"/>
      <c r="AH137" s="1301"/>
      <c r="AJ137" s="1301"/>
      <c r="AK137" s="1301"/>
      <c r="AL137" s="1301"/>
      <c r="AN137" s="1301"/>
      <c r="AO137" s="1301"/>
      <c r="AP137" s="1301"/>
      <c r="AQ137" s="70"/>
      <c r="AV137" s="1368"/>
      <c r="AW137" s="1368"/>
      <c r="AX137" s="1368"/>
      <c r="AZ137" s="1293"/>
      <c r="BA137" s="1293"/>
      <c r="BB137" s="1293"/>
      <c r="BD137" s="1301"/>
      <c r="BE137" s="1301"/>
      <c r="BF137" s="1301"/>
      <c r="BH137" s="1301"/>
      <c r="BI137" s="1301"/>
      <c r="BJ137" s="1301"/>
      <c r="BL137" s="1301"/>
      <c r="BM137" s="1301"/>
      <c r="BN137" s="1301"/>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Profilo standard</v>
      </c>
      <c r="K139" s="95"/>
      <c r="L139" s="95"/>
      <c r="M139" s="95"/>
      <c r="N139" s="95"/>
      <c r="O139" s="95"/>
      <c r="P139" s="95"/>
      <c r="Q139" s="95"/>
      <c r="R139" s="95"/>
      <c r="S139" s="95"/>
      <c r="T139" s="95"/>
      <c r="U139" s="95" t="s">
        <v>95</v>
      </c>
      <c r="V139" s="95"/>
      <c r="W139" s="95"/>
      <c r="X139" s="1280">
        <f>X663</f>
        <v>0</v>
      </c>
      <c r="Y139" s="1280"/>
      <c r="Z139" s="1280"/>
      <c r="AA139" s="202"/>
      <c r="AB139" s="1280">
        <f>AB663</f>
        <v>0</v>
      </c>
      <c r="AC139" s="1280"/>
      <c r="AD139" s="1280"/>
      <c r="AE139" s="133"/>
      <c r="AF139" s="1280">
        <f>AF663</f>
        <v>0</v>
      </c>
      <c r="AG139" s="1280"/>
      <c r="AH139" s="1280"/>
      <c r="AI139" s="133"/>
      <c r="AJ139" s="1280">
        <f>AJ663</f>
        <v>0</v>
      </c>
      <c r="AK139" s="1280"/>
      <c r="AL139" s="1280"/>
      <c r="AM139" s="291"/>
      <c r="AN139" s="1548">
        <f>AVERAGE(X139:AL139)</f>
        <v>0</v>
      </c>
      <c r="AO139" s="1548"/>
      <c r="AP139" s="1548"/>
      <c r="AQ139" s="346"/>
      <c r="AR139" s="291"/>
      <c r="AS139" s="291"/>
      <c r="AT139" s="291"/>
      <c r="AU139" s="291"/>
      <c r="AV139" s="1280">
        <f>AV663</f>
        <v>0</v>
      </c>
      <c r="AW139" s="1280"/>
      <c r="AX139" s="1280"/>
      <c r="AY139" s="202"/>
      <c r="AZ139" s="1280">
        <f>AZ663</f>
        <v>0</v>
      </c>
      <c r="BA139" s="1280"/>
      <c r="BB139" s="1280"/>
      <c r="BC139" s="133"/>
      <c r="BD139" s="1280">
        <f>BD663</f>
        <v>0</v>
      </c>
      <c r="BE139" s="1280"/>
      <c r="BF139" s="1280"/>
      <c r="BG139" s="133"/>
      <c r="BH139" s="1280">
        <f>BH663</f>
        <v>0</v>
      </c>
      <c r="BI139" s="1280"/>
      <c r="BJ139" s="1280"/>
      <c r="BK139" s="291"/>
      <c r="BL139" s="1548">
        <f>AVERAGE(AV139:BJ139)</f>
        <v>0</v>
      </c>
      <c r="BM139" s="1548"/>
      <c r="BN139" s="1548"/>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Valutazione progettisti</v>
      </c>
      <c r="U141" s="27" t="s">
        <v>95</v>
      </c>
      <c r="X141" s="1546"/>
      <c r="Y141" s="1546"/>
      <c r="Z141" s="1547"/>
      <c r="AA141" s="202"/>
      <c r="AB141" s="1546"/>
      <c r="AC141" s="1546"/>
      <c r="AD141" s="1547"/>
      <c r="AE141" s="133"/>
      <c r="AF141" s="1546"/>
      <c r="AG141" s="1546"/>
      <c r="AH141" s="1547"/>
      <c r="AI141" s="133"/>
      <c r="AJ141" s="1546"/>
      <c r="AK141" s="1546"/>
      <c r="AL141" s="1547"/>
      <c r="AM141" s="291"/>
      <c r="AN141" s="1303">
        <f>IF(SUM(X141:AL141)=0,0,AVERAGE(X141:AL141))</f>
        <v>0</v>
      </c>
      <c r="AO141" s="1303"/>
      <c r="AP141" s="1303"/>
      <c r="AQ141" s="152"/>
      <c r="AR141" s="445" t="s">
        <v>266</v>
      </c>
      <c r="AS141" s="445" t="s">
        <v>266</v>
      </c>
      <c r="AT141" s="445" t="s">
        <v>266</v>
      </c>
      <c r="AU141" s="58"/>
      <c r="AV141" s="1546"/>
      <c r="AW141" s="1546"/>
      <c r="AX141" s="1547"/>
      <c r="AY141" s="202"/>
      <c r="AZ141" s="1546"/>
      <c r="BA141" s="1546"/>
      <c r="BB141" s="1547"/>
      <c r="BC141" s="133"/>
      <c r="BD141" s="1546"/>
      <c r="BE141" s="1546"/>
      <c r="BF141" s="1547"/>
      <c r="BG141" s="133"/>
      <c r="BH141" s="1546"/>
      <c r="BI141" s="1546"/>
      <c r="BJ141" s="1547"/>
      <c r="BK141" s="291"/>
      <c r="BL141" s="1435">
        <f>IF(SUM(AV141:BJ141)=0,0,AVERAGE(AV141:BJ141))</f>
        <v>0</v>
      </c>
      <c r="BM141" s="1359"/>
      <c r="BN141" s="1359"/>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45">
        <f>IF(X141="",X139,X141)</f>
        <v>0</v>
      </c>
      <c r="Y143" s="1545"/>
      <c r="Z143" s="1545"/>
      <c r="AA143" s="585"/>
      <c r="AB143" s="1545">
        <f>IF(AB141="",AB139,AB141)</f>
        <v>0</v>
      </c>
      <c r="AC143" s="1545"/>
      <c r="AD143" s="1545"/>
      <c r="AE143" s="586"/>
      <c r="AF143" s="1545">
        <f>IF(AF141="",AF139,AF141)</f>
        <v>0</v>
      </c>
      <c r="AG143" s="1545"/>
      <c r="AH143" s="1545"/>
      <c r="AI143" s="586"/>
      <c r="AJ143" s="1545">
        <f>IF(AJ141="",AJ139,AJ141)</f>
        <v>0</v>
      </c>
      <c r="AK143" s="1545"/>
      <c r="AL143" s="1545"/>
      <c r="AM143" s="585"/>
      <c r="AN143" s="1545">
        <f>AVERAGE(X143:AL143)</f>
        <v>0</v>
      </c>
      <c r="AO143" s="1545"/>
      <c r="AP143" s="1545"/>
      <c r="AQ143" s="587"/>
      <c r="AR143" s="588" t="s">
        <v>266</v>
      </c>
      <c r="AS143" s="588" t="s">
        <v>266</v>
      </c>
      <c r="AT143" s="588" t="s">
        <v>266</v>
      </c>
      <c r="AU143" s="585"/>
      <c r="AV143" s="1545">
        <f>IF(AV141="",AV139,AV141)</f>
        <v>0</v>
      </c>
      <c r="AW143" s="1545"/>
      <c r="AX143" s="1545"/>
      <c r="AY143" s="585"/>
      <c r="AZ143" s="1545">
        <f>IF(AZ141="",AZ139,AZ141)</f>
        <v>0</v>
      </c>
      <c r="BA143" s="1545"/>
      <c r="BB143" s="1545"/>
      <c r="BC143" s="586"/>
      <c r="BD143" s="1545">
        <f>IF(BD141="",BD139,BD141)</f>
        <v>0</v>
      </c>
      <c r="BE143" s="1545"/>
      <c r="BF143" s="1545"/>
      <c r="BG143" s="586"/>
      <c r="BH143" s="1545">
        <f>IF(BH141="",BH139,BH141)</f>
        <v>0</v>
      </c>
      <c r="BI143" s="1545"/>
      <c r="BJ143" s="1545"/>
      <c r="BK143" s="585"/>
      <c r="BL143" s="1545">
        <f>AVERAGE(AV143:BJ143)</f>
        <v>0</v>
      </c>
      <c r="BM143" s="1545"/>
      <c r="BN143" s="1545"/>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Discrepanza rispetto al valore previsto</v>
      </c>
      <c r="U145" s="27" t="s">
        <v>28</v>
      </c>
      <c r="X145" s="1386" t="str">
        <f>IF(X139=0,"--",X143/X139-1)</f>
        <v>--</v>
      </c>
      <c r="Y145" s="1386"/>
      <c r="Z145" s="1386"/>
      <c r="AA145" s="162"/>
      <c r="AB145" s="1386" t="str">
        <f>IF(AB139=0,"--",AB143/AB139-1)</f>
        <v>--</v>
      </c>
      <c r="AC145" s="1386"/>
      <c r="AD145" s="1386"/>
      <c r="AE145" s="163"/>
      <c r="AF145" s="1386" t="str">
        <f>IF(AF139=0,"--",AF143/AF139-1)</f>
        <v>--</v>
      </c>
      <c r="AG145" s="1386"/>
      <c r="AH145" s="1386"/>
      <c r="AI145" s="163"/>
      <c r="AJ145" s="1386" t="str">
        <f>IF(AJ139=0,"--",AJ143/AJ139-1)</f>
        <v>--</v>
      </c>
      <c r="AK145" s="1386"/>
      <c r="AL145" s="1386"/>
      <c r="AM145" s="162"/>
      <c r="AN145" s="1386" t="str">
        <f>IF(AN143=0,"--",AN143/AN139-1)</f>
        <v>--</v>
      </c>
      <c r="AO145" s="1386"/>
      <c r="AP145" s="1386"/>
      <c r="AQ145" s="345"/>
      <c r="AR145" s="445" t="s">
        <v>266</v>
      </c>
      <c r="AS145" s="445" t="s">
        <v>266</v>
      </c>
      <c r="AT145" s="445" t="s">
        <v>266</v>
      </c>
      <c r="AU145" s="162"/>
      <c r="AV145" s="1386" t="str">
        <f>IF(AV139=0,"--",AV143/AV139-1)</f>
        <v>--</v>
      </c>
      <c r="AW145" s="1386"/>
      <c r="AX145" s="1386"/>
      <c r="AY145" s="162"/>
      <c r="AZ145" s="1386" t="str">
        <f>IF(AZ139=0,"--",AZ143/AZ139-1)</f>
        <v>--</v>
      </c>
      <c r="BA145" s="1386"/>
      <c r="BB145" s="1386"/>
      <c r="BC145" s="163"/>
      <c r="BD145" s="1386" t="str">
        <f>IF(BD139=0,"--",BD143/BD139-1)</f>
        <v>--</v>
      </c>
      <c r="BE145" s="1386"/>
      <c r="BF145" s="1386"/>
      <c r="BG145" s="163"/>
      <c r="BH145" s="1386" t="str">
        <f>IF(BH139=0,"--",BH143/BH139-1)</f>
        <v>--</v>
      </c>
      <c r="BI145" s="1386"/>
      <c r="BJ145" s="1386"/>
      <c r="BK145" s="162"/>
      <c r="BL145" s="1386" t="str">
        <f>IF(BL139=0,"--",BL143/BL139-1)</f>
        <v>--</v>
      </c>
      <c r="BM145" s="1386"/>
      <c r="BN145" s="1386"/>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Osservazioni</v>
      </c>
      <c r="J147" s="165"/>
      <c r="K147" s="165"/>
      <c r="L147" s="165"/>
      <c r="M147" s="165"/>
      <c r="N147" s="165"/>
      <c r="O147" s="165"/>
      <c r="P147" s="165"/>
      <c r="Q147" s="165"/>
      <c r="R147" s="165"/>
      <c r="S147" s="165"/>
      <c r="T147" s="165"/>
      <c r="U147" s="165"/>
      <c r="V147" s="165"/>
      <c r="W147" s="165"/>
      <c r="X147" s="1495" t="str">
        <f>IF(AN145&lt;I505,X505,"")</f>
        <v/>
      </c>
      <c r="Y147" s="1495"/>
      <c r="Z147" s="1495"/>
      <c r="AA147" s="1495"/>
      <c r="AB147" s="1495"/>
      <c r="AC147" s="1495"/>
      <c r="AD147" s="1495"/>
      <c r="AE147" s="1495"/>
      <c r="AF147" s="1495"/>
      <c r="AG147" s="1495"/>
      <c r="AH147" s="1495"/>
      <c r="AI147" s="1495"/>
      <c r="AJ147" s="1495"/>
      <c r="AK147" s="1495"/>
      <c r="AL147" s="1495"/>
      <c r="AM147" s="1495"/>
      <c r="AN147" s="1495"/>
      <c r="AO147" s="1495"/>
      <c r="AP147" s="1495"/>
      <c r="AQ147" s="329"/>
      <c r="AR147" s="166"/>
      <c r="AS147" s="166"/>
      <c r="AT147" s="166"/>
      <c r="AU147" s="166"/>
      <c r="AV147" s="1495" t="str">
        <f>IF(BL145&lt;I505,X505,"")</f>
        <v/>
      </c>
      <c r="AW147" s="1495"/>
      <c r="AX147" s="1495"/>
      <c r="AY147" s="1495"/>
      <c r="AZ147" s="1495"/>
      <c r="BA147" s="1495"/>
      <c r="BB147" s="1495"/>
      <c r="BC147" s="1495"/>
      <c r="BD147" s="1495"/>
      <c r="BE147" s="1495"/>
      <c r="BF147" s="1495"/>
      <c r="BG147" s="1495"/>
      <c r="BH147" s="1495"/>
      <c r="BI147" s="1495"/>
      <c r="BJ147" s="1495"/>
      <c r="BK147" s="1495"/>
      <c r="BL147" s="1495"/>
      <c r="BM147" s="1495"/>
      <c r="BN147" s="1495"/>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96" t="str">
        <f>IF(AN145&lt;I505,AV505,"")</f>
        <v/>
      </c>
      <c r="Y149" s="1496"/>
      <c r="Z149" s="1496"/>
      <c r="AA149" s="1496"/>
      <c r="AB149" s="1496"/>
      <c r="AC149" s="1496"/>
      <c r="AD149" s="1496"/>
      <c r="AE149" s="1496"/>
      <c r="AF149" s="1496"/>
      <c r="AG149" s="1496"/>
      <c r="AH149" s="1496"/>
      <c r="AI149" s="1496"/>
      <c r="AJ149" s="1496"/>
      <c r="AK149" s="1496"/>
      <c r="AL149" s="1496"/>
      <c r="AM149" s="1496"/>
      <c r="AN149" s="1496"/>
      <c r="AO149" s="1496"/>
      <c r="AP149" s="1496"/>
      <c r="AQ149" s="330"/>
      <c r="AR149" s="119"/>
      <c r="AS149" s="119"/>
      <c r="AT149" s="119"/>
      <c r="AU149" s="119"/>
      <c r="AV149" s="1496" t="str">
        <f>IF(BL145&lt;I505,AV505,"")</f>
        <v/>
      </c>
      <c r="AW149" s="1496"/>
      <c r="AX149" s="1496"/>
      <c r="AY149" s="1496"/>
      <c r="AZ149" s="1496"/>
      <c r="BA149" s="1496"/>
      <c r="BB149" s="1496"/>
      <c r="BC149" s="1496"/>
      <c r="BD149" s="1496"/>
      <c r="BE149" s="1496"/>
      <c r="BF149" s="1496"/>
      <c r="BG149" s="1496"/>
      <c r="BH149" s="1496"/>
      <c r="BI149" s="1496"/>
      <c r="BJ149" s="1496"/>
      <c r="BK149" s="1496"/>
      <c r="BL149" s="1496"/>
      <c r="BM149" s="1496"/>
      <c r="BN149" s="149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Composizione dei risultati</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Risultato della stima in base al profilo standard</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368" t="str">
        <f>X130</f>
        <v>Primavera</v>
      </c>
      <c r="Y160" s="1368"/>
      <c r="Z160" s="1368"/>
      <c r="AB160" s="1293" t="str">
        <f>AB130</f>
        <v>Estate</v>
      </c>
      <c r="AC160" s="1293"/>
      <c r="AD160" s="1293"/>
      <c r="AF160" s="1301" t="str">
        <f>AF130</f>
        <v>Autunno</v>
      </c>
      <c r="AG160" s="1301"/>
      <c r="AH160" s="1301"/>
      <c r="AJ160" s="1301" t="str">
        <f>AJ130</f>
        <v>Inverno</v>
      </c>
      <c r="AK160" s="1301"/>
      <c r="AL160" s="1301"/>
      <c r="AN160" s="1301" t="str">
        <f>AN130</f>
        <v>Anno</v>
      </c>
      <c r="AO160" s="1301"/>
      <c r="AP160" s="1301"/>
      <c r="AQ160" s="70"/>
      <c r="AV160" s="1460" t="str">
        <f>X160</f>
        <v>Primavera</v>
      </c>
      <c r="AW160" s="1460"/>
      <c r="AX160" s="1460"/>
      <c r="AY160" s="27"/>
      <c r="AZ160" s="1350" t="str">
        <f>AB160</f>
        <v>Estate</v>
      </c>
      <c r="BA160" s="1350"/>
      <c r="BB160" s="1350"/>
      <c r="BC160" s="27"/>
      <c r="BD160" s="1350" t="str">
        <f>AF160</f>
        <v>Autunno</v>
      </c>
      <c r="BE160" s="1350"/>
      <c r="BF160" s="1350"/>
      <c r="BG160" s="27"/>
      <c r="BH160" s="1350" t="str">
        <f>AJ160</f>
        <v>Inverno</v>
      </c>
      <c r="BI160" s="1350"/>
      <c r="BJ160" s="1350"/>
      <c r="BK160" s="27"/>
      <c r="BL160" s="1350" t="str">
        <f>AN160</f>
        <v>Anno</v>
      </c>
      <c r="BM160" s="1350"/>
      <c r="BN160" s="1350"/>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Ore d'esercizio (al giorno)</v>
      </c>
      <c r="I162" s="161"/>
      <c r="J162" s="74"/>
      <c r="K162" s="74"/>
      <c r="L162" s="74"/>
      <c r="M162" s="74"/>
      <c r="N162" s="74"/>
      <c r="O162" s="74"/>
      <c r="P162" s="74"/>
      <c r="Q162" s="74"/>
      <c r="R162" s="74"/>
      <c r="S162" s="74"/>
      <c r="T162" s="74"/>
      <c r="U162" s="95" t="s">
        <v>95</v>
      </c>
      <c r="V162" s="74"/>
      <c r="W162" s="74"/>
      <c r="X162" s="1377">
        <f>X139</f>
        <v>0</v>
      </c>
      <c r="Y162" s="1377"/>
      <c r="Z162" s="1377"/>
      <c r="AA162" s="132"/>
      <c r="AB162" s="1377">
        <f>AB139</f>
        <v>0</v>
      </c>
      <c r="AC162" s="1377"/>
      <c r="AD162" s="1377"/>
      <c r="AE162" s="133"/>
      <c r="AF162" s="1377">
        <f>AF139</f>
        <v>0</v>
      </c>
      <c r="AG162" s="1377"/>
      <c r="AH162" s="1377"/>
      <c r="AI162" s="133"/>
      <c r="AJ162" s="1377">
        <f>AJ139</f>
        <v>0</v>
      </c>
      <c r="AK162" s="1377"/>
      <c r="AL162" s="1377"/>
      <c r="AM162" s="106"/>
      <c r="AN162" s="1377">
        <f>AN139</f>
        <v>0</v>
      </c>
      <c r="AO162" s="1377"/>
      <c r="AP162" s="1377"/>
      <c r="AQ162" s="132"/>
      <c r="AR162" s="106"/>
      <c r="AS162" s="106"/>
      <c r="AT162" s="106"/>
      <c r="AU162" s="106"/>
      <c r="AV162" s="1377">
        <f>AV139</f>
        <v>0</v>
      </c>
      <c r="AW162" s="1377"/>
      <c r="AX162" s="1377"/>
      <c r="AY162" s="106"/>
      <c r="AZ162" s="1377">
        <f>AZ139</f>
        <v>0</v>
      </c>
      <c r="BA162" s="1377"/>
      <c r="BB162" s="1377"/>
      <c r="BC162" s="135"/>
      <c r="BD162" s="1377">
        <f>BD139</f>
        <v>0</v>
      </c>
      <c r="BE162" s="1377"/>
      <c r="BF162" s="1377"/>
      <c r="BG162" s="135"/>
      <c r="BH162" s="1377">
        <f>BH139</f>
        <v>0</v>
      </c>
      <c r="BI162" s="1377"/>
      <c r="BJ162" s="1377"/>
      <c r="BK162" s="106"/>
      <c r="BL162" s="1377">
        <f>BL139</f>
        <v>0</v>
      </c>
      <c r="BM162" s="1377"/>
      <c r="BN162" s="1377"/>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Consumo elettricità</v>
      </c>
      <c r="I164" s="74"/>
      <c r="J164" s="74"/>
      <c r="K164" s="74"/>
      <c r="L164" s="74"/>
      <c r="M164" s="74"/>
      <c r="N164" s="74"/>
      <c r="O164" s="74"/>
      <c r="P164" s="74"/>
      <c r="Q164" s="74"/>
      <c r="R164" s="74"/>
      <c r="S164" s="74"/>
      <c r="T164" s="74"/>
      <c r="U164" s="95"/>
      <c r="V164" s="74"/>
      <c r="W164" s="74"/>
      <c r="X164" s="1266"/>
      <c r="Y164" s="1293"/>
      <c r="Z164" s="1293"/>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Macchina</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66">
        <f>AN231</f>
        <v>0</v>
      </c>
      <c r="AO165" s="1293"/>
      <c r="AP165" s="1293"/>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66">
        <f>BL231</f>
        <v>0</v>
      </c>
      <c r="BM165" s="1293"/>
      <c r="BN165" s="1293"/>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Aggregati ausiliari «parte caldo»</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66">
        <f>AN246</f>
        <v>0</v>
      </c>
      <c r="AO166" s="1293"/>
      <c r="AP166" s="1293"/>
      <c r="AQ166" s="106"/>
      <c r="AR166" s="106"/>
      <c r="AS166" s="106"/>
      <c r="AT166" s="106"/>
      <c r="AU166" s="106"/>
      <c r="AV166"/>
      <c r="AW166"/>
      <c r="AX166"/>
      <c r="AY166" s="106"/>
      <c r="AZ166" s="130"/>
      <c r="BA166" s="107"/>
      <c r="BB166" s="107"/>
      <c r="BC166" s="107"/>
      <c r="BD166" s="107"/>
      <c r="BE166" s="107"/>
      <c r="BF166" s="107"/>
      <c r="BG166" s="107"/>
      <c r="BH166" s="107"/>
      <c r="BL166" s="1266">
        <f>BL246</f>
        <v>0</v>
      </c>
      <c r="BM166" s="1293"/>
      <c r="BN166" s="1293"/>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Aggregati ausiliari «parte freddo»</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267">
        <f>AN256</f>
        <v>0</v>
      </c>
      <c r="AO167" s="1461"/>
      <c r="AP167" s="1461"/>
      <c r="AQ167" s="106"/>
      <c r="AR167" s="106"/>
      <c r="AS167" s="106"/>
      <c r="AT167" s="106"/>
      <c r="AU167" s="106"/>
      <c r="AV167"/>
      <c r="AW167"/>
      <c r="AX167"/>
      <c r="AY167" s="106"/>
      <c r="AZ167" s="169"/>
      <c r="BA167" s="107"/>
      <c r="BB167" s="107"/>
      <c r="BC167" s="107"/>
      <c r="BD167" s="107"/>
      <c r="BE167" s="107"/>
      <c r="BF167" s="107"/>
      <c r="BG167" s="107"/>
      <c r="BH167" s="107"/>
      <c r="BL167" s="1267">
        <f>BL256</f>
        <v>0</v>
      </c>
      <c r="BM167" s="1461"/>
      <c r="BN167" s="1461"/>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Consumo totale di elettricità</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66">
        <f>SUM(AN165:AP167)</f>
        <v>0</v>
      </c>
      <c r="AO168" s="1293"/>
      <c r="AP168" s="1293"/>
      <c r="AQ168" s="106"/>
      <c r="AR168" s="106"/>
      <c r="AS168" s="106"/>
      <c r="AT168" s="106"/>
      <c r="AU168" s="106"/>
      <c r="AV168"/>
      <c r="AW168"/>
      <c r="AX168"/>
      <c r="AY168" s="106"/>
      <c r="AZ168" s="169"/>
      <c r="BA168" s="107"/>
      <c r="BB168" s="107"/>
      <c r="BC168" s="107"/>
      <c r="BD168" s="107"/>
      <c r="BE168" s="107"/>
      <c r="BF168" s="107"/>
      <c r="BG168" s="107"/>
      <c r="BH168" s="107"/>
      <c r="BL168" s="1266">
        <f>SUM(BL165:BN167)</f>
        <v>0</v>
      </c>
      <c r="BM168" s="1293"/>
      <c r="BN168" s="1293"/>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Energia</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Freddo utilizzato</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267">
        <f>AN225</f>
        <v>0</v>
      </c>
      <c r="AO171" s="1461"/>
      <c r="AP171" s="1461"/>
      <c r="AQ171" s="106"/>
      <c r="AR171" s="106"/>
      <c r="AS171" s="106"/>
      <c r="AT171" s="106"/>
      <c r="AU171" s="106"/>
      <c r="AV171"/>
      <c r="AW171"/>
      <c r="AX171"/>
      <c r="AY171" s="106"/>
      <c r="AZ171" s="130"/>
      <c r="BA171" s="107"/>
      <c r="BB171" s="107"/>
      <c r="BC171" s="107"/>
      <c r="BD171" s="107"/>
      <c r="BE171" s="107"/>
      <c r="BF171" s="107"/>
      <c r="BG171" s="107"/>
      <c r="BH171" s="107"/>
      <c r="BL171" s="1267">
        <f>BL225</f>
        <v>0</v>
      </c>
      <c r="BM171" s="1461"/>
      <c r="BN171" s="1461"/>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Raffreddamento con la macchina refrigerante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66">
        <f>AN227</f>
        <v>0</v>
      </c>
      <c r="AO172" s="1293"/>
      <c r="AP172" s="1293"/>
      <c r="AQ172" s="106"/>
      <c r="AR172" s="106"/>
      <c r="AS172" s="106"/>
      <c r="AT172" s="106"/>
      <c r="AU172" s="106"/>
      <c r="AV172"/>
      <c r="AW172"/>
      <c r="AX172"/>
      <c r="AY172" s="106"/>
      <c r="AZ172" s="130"/>
      <c r="BA172" s="107"/>
      <c r="BB172" s="107"/>
      <c r="BC172" s="107"/>
      <c r="BD172" s="107"/>
      <c r="BE172" s="107"/>
      <c r="BF172" s="107"/>
      <c r="BG172" s="107"/>
      <c r="BH172" s="107"/>
      <c r="BL172" s="1266">
        <f>BL227</f>
        <v>0</v>
      </c>
      <c r="BM172" s="1293"/>
      <c r="BN172" s="1293"/>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Raffreddamento con il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66">
        <f>AN228</f>
        <v>0</v>
      </c>
      <c r="AO173" s="1293"/>
      <c r="AP173" s="1293"/>
      <c r="AQ173" s="106"/>
      <c r="AR173" s="106"/>
      <c r="AS173" s="106"/>
      <c r="AT173" s="106"/>
      <c r="AU173" s="106"/>
      <c r="AV173"/>
      <c r="AW173"/>
      <c r="AX173"/>
      <c r="AY173" s="106"/>
      <c r="AZ173" s="130"/>
      <c r="BA173" s="107"/>
      <c r="BB173" s="107"/>
      <c r="BC173" s="107"/>
      <c r="BD173" s="107"/>
      <c r="BE173" s="107"/>
      <c r="BF173" s="107"/>
      <c r="BG173" s="107"/>
      <c r="BH173" s="107"/>
      <c r="BL173" s="1266">
        <f>BL228</f>
        <v>0</v>
      </c>
      <c r="BM173" s="1293"/>
      <c r="BN173" s="1293"/>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Consumo elettricità</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66">
        <f>AN168</f>
        <v>0</v>
      </c>
      <c r="AO175" s="1293"/>
      <c r="AP175" s="1293"/>
      <c r="AQ175" s="106"/>
      <c r="AR175" s="106"/>
      <c r="AS175" s="106"/>
      <c r="AT175" s="106"/>
      <c r="AU175" s="106"/>
      <c r="AV175"/>
      <c r="AW175"/>
      <c r="AX175"/>
      <c r="AY175" s="106"/>
      <c r="AZ175" s="130"/>
      <c r="BA175" s="107"/>
      <c r="BB175" s="107"/>
      <c r="BC175" s="107"/>
      <c r="BD175" s="107"/>
      <c r="BE175" s="107"/>
      <c r="BF175" s="107"/>
      <c r="BG175" s="107"/>
      <c r="BH175" s="107"/>
      <c r="BL175" s="1266">
        <f>BL168</f>
        <v>0</v>
      </c>
      <c r="BM175" s="1293"/>
      <c r="BN175" s="1293"/>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 xml:space="preserve">Fattore di efficienza energetica </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(freddo prodotto / Consumo totale di elettricità)</v>
      </c>
      <c r="AN177" s="1333">
        <f>IF(AN175=0,0,AN171/AN175)</f>
        <v>0</v>
      </c>
      <c r="AO177" s="1333"/>
      <c r="AP177" s="1333"/>
      <c r="AQ177" s="106"/>
      <c r="AR177" s="106"/>
      <c r="AS177" s="106"/>
      <c r="AT177" s="106"/>
      <c r="AU177" s="106"/>
      <c r="AV177"/>
      <c r="AW177"/>
      <c r="AX177"/>
      <c r="AY177" s="106"/>
      <c r="BA177" s="107"/>
      <c r="BB177" s="107"/>
      <c r="BC177" s="107"/>
      <c r="BD177" s="107"/>
      <c r="BE177" s="107"/>
      <c r="BF177" s="107"/>
      <c r="BG177" s="107"/>
      <c r="BH177" s="107"/>
      <c r="BK177" s="451" t="str">
        <f>X!$C$16</f>
        <v>(freddo prodotto / Consumo totale di elettricità)</v>
      </c>
      <c r="BL177" s="1333">
        <f>IF(BL175=0,0,BL171/BL175)</f>
        <v>0</v>
      </c>
      <c r="BM177" s="1333"/>
      <c r="BN177" s="1333"/>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Risultato della stima in base alle ipotesi del progettista</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368" t="str">
        <f>X160</f>
        <v>Primavera</v>
      </c>
      <c r="Y183" s="1368"/>
      <c r="Z183" s="1368"/>
      <c r="AB183" s="1293" t="str">
        <f>AB160</f>
        <v>Estate</v>
      </c>
      <c r="AC183" s="1293"/>
      <c r="AD183" s="1293"/>
      <c r="AF183" s="1301" t="str">
        <f>AF160</f>
        <v>Autunno</v>
      </c>
      <c r="AG183" s="1301"/>
      <c r="AH183" s="1301"/>
      <c r="AJ183" s="1301" t="str">
        <f>AJ160</f>
        <v>Inverno</v>
      </c>
      <c r="AK183" s="1301"/>
      <c r="AL183" s="1301"/>
      <c r="AN183" s="1301" t="str">
        <f>AN160</f>
        <v>Anno</v>
      </c>
      <c r="AO183" s="1301"/>
      <c r="AP183" s="1301"/>
      <c r="AQ183" s="70"/>
      <c r="AV183" s="1460" t="str">
        <f>X183</f>
        <v>Primavera</v>
      </c>
      <c r="AW183" s="1460"/>
      <c r="AX183" s="1460"/>
      <c r="AY183" s="27"/>
      <c r="AZ183" s="1350" t="str">
        <f>AB183</f>
        <v>Estate</v>
      </c>
      <c r="BA183" s="1350"/>
      <c r="BB183" s="1350"/>
      <c r="BC183" s="27"/>
      <c r="BD183" s="1350" t="str">
        <f>AF183</f>
        <v>Autunno</v>
      </c>
      <c r="BE183" s="1350"/>
      <c r="BF183" s="1350"/>
      <c r="BG183" s="27"/>
      <c r="BH183" s="1350" t="str">
        <f>AJ183</f>
        <v>Inverno</v>
      </c>
      <c r="BI183" s="1350"/>
      <c r="BJ183" s="1350"/>
      <c r="BK183" s="27"/>
      <c r="BL183" s="1350" t="str">
        <f>AN183</f>
        <v>Anno</v>
      </c>
      <c r="BM183" s="1350"/>
      <c r="BN183" s="1350"/>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Ore d'esercizio (al giorno)</v>
      </c>
      <c r="I185" s="161"/>
      <c r="J185" s="74"/>
      <c r="K185" s="74"/>
      <c r="L185" s="74"/>
      <c r="M185" s="74"/>
      <c r="N185" s="74"/>
      <c r="O185" s="74"/>
      <c r="P185" s="74"/>
      <c r="Q185" s="74"/>
      <c r="R185" s="74"/>
      <c r="S185" s="74"/>
      <c r="T185" s="74"/>
      <c r="U185" s="95" t="s">
        <v>95</v>
      </c>
      <c r="V185" s="74"/>
      <c r="W185" s="74"/>
      <c r="X185" s="1377">
        <f>X143</f>
        <v>0</v>
      </c>
      <c r="Y185" s="1377"/>
      <c r="Z185" s="1377"/>
      <c r="AA185" s="132"/>
      <c r="AB185" s="1377">
        <f>AB143</f>
        <v>0</v>
      </c>
      <c r="AC185" s="1377"/>
      <c r="AD185" s="1377"/>
      <c r="AE185" s="133"/>
      <c r="AF185" s="1377">
        <f>AF143</f>
        <v>0</v>
      </c>
      <c r="AG185" s="1377"/>
      <c r="AH185" s="1377"/>
      <c r="AI185" s="133"/>
      <c r="AJ185" s="1377">
        <f>AJ143</f>
        <v>0</v>
      </c>
      <c r="AK185" s="1377"/>
      <c r="AL185" s="1377"/>
      <c r="AM185" s="106"/>
      <c r="AN185" s="1377">
        <f>AN143</f>
        <v>0</v>
      </c>
      <c r="AO185" s="1377"/>
      <c r="AP185" s="1377"/>
      <c r="AQ185" s="132"/>
      <c r="AR185" s="106"/>
      <c r="AS185" s="106"/>
      <c r="AT185" s="106"/>
      <c r="AU185" s="106"/>
      <c r="AV185" s="1377">
        <f>AV143</f>
        <v>0</v>
      </c>
      <c r="AW185" s="1377"/>
      <c r="AX185" s="1377"/>
      <c r="AY185" s="106"/>
      <c r="AZ185" s="1377">
        <f>AZ143</f>
        <v>0</v>
      </c>
      <c r="BA185" s="1377"/>
      <c r="BB185" s="1377"/>
      <c r="BC185" s="135"/>
      <c r="BD185" s="1377">
        <f>BD143</f>
        <v>0</v>
      </c>
      <c r="BE185" s="1377"/>
      <c r="BF185" s="1377"/>
      <c r="BG185" s="135"/>
      <c r="BH185" s="1377">
        <f>BH143</f>
        <v>0</v>
      </c>
      <c r="BI185" s="1377"/>
      <c r="BJ185" s="1377"/>
      <c r="BK185" s="106"/>
      <c r="BL185" s="1377">
        <f>BL143</f>
        <v>0</v>
      </c>
      <c r="BM185" s="1377"/>
      <c r="BN185" s="1377"/>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Consumo elettricità</v>
      </c>
      <c r="I187" s="74"/>
      <c r="J187" s="74"/>
      <c r="K187" s="74"/>
      <c r="L187" s="74"/>
      <c r="M187" s="74"/>
      <c r="N187" s="74"/>
      <c r="O187" s="74"/>
      <c r="P187" s="74"/>
      <c r="Q187" s="74"/>
      <c r="R187" s="74"/>
      <c r="S187" s="74"/>
      <c r="T187" s="74"/>
      <c r="U187" s="95"/>
      <c r="V187" s="74"/>
      <c r="W187" s="74"/>
      <c r="X187" s="1266"/>
      <c r="Y187" s="1293"/>
      <c r="Z187" s="1293"/>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Macchina</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66">
        <f>AN283</f>
        <v>0</v>
      </c>
      <c r="AO188" s="1293"/>
      <c r="AP188" s="1293"/>
      <c r="AQ188" s="106"/>
      <c r="AR188" s="106"/>
      <c r="AS188" s="106"/>
      <c r="AT188" s="106"/>
      <c r="AU188" s="106"/>
      <c r="AV188" s="74"/>
      <c r="AW188" s="74"/>
      <c r="AX188" s="74"/>
      <c r="AY188" s="106"/>
      <c r="AZ188" s="130"/>
      <c r="BA188" s="107"/>
      <c r="BB188" s="107"/>
      <c r="BC188" s="107"/>
      <c r="BD188" s="107"/>
      <c r="BE188" s="107"/>
      <c r="BF188" s="107"/>
      <c r="BG188" s="107"/>
      <c r="BH188" s="107"/>
      <c r="BL188" s="1266">
        <f>BL283</f>
        <v>0</v>
      </c>
      <c r="BM188" s="1293"/>
      <c r="BN188" s="1293"/>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Aggregati ausiliari «parte caldo»</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66">
        <f>AN296</f>
        <v>0</v>
      </c>
      <c r="AO189" s="1293"/>
      <c r="AP189" s="1293"/>
      <c r="AQ189" s="106"/>
      <c r="AR189" s="106"/>
      <c r="AS189" s="106"/>
      <c r="AT189" s="106"/>
      <c r="AU189" s="106"/>
      <c r="AV189" s="74"/>
      <c r="AW189" s="74"/>
      <c r="AX189" s="74"/>
      <c r="AY189" s="106"/>
      <c r="AZ189" s="130"/>
      <c r="BA189" s="107"/>
      <c r="BB189" s="107"/>
      <c r="BC189" s="107"/>
      <c r="BD189" s="107"/>
      <c r="BE189" s="107"/>
      <c r="BF189" s="107"/>
      <c r="BG189" s="107"/>
      <c r="BH189" s="107"/>
      <c r="BL189" s="1266">
        <f>BL296</f>
        <v>0</v>
      </c>
      <c r="BM189" s="1293"/>
      <c r="BN189" s="1293"/>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Aggregati ausiliari «parte freddo»</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267">
        <f>AN306</f>
        <v>0</v>
      </c>
      <c r="AO190" s="1461"/>
      <c r="AP190" s="1461"/>
      <c r="AQ190" s="106"/>
      <c r="AR190" s="106"/>
      <c r="AS190" s="106"/>
      <c r="AT190" s="106"/>
      <c r="AU190" s="106"/>
      <c r="AV190" s="74"/>
      <c r="AW190" s="74"/>
      <c r="AX190" s="74"/>
      <c r="AY190" s="106"/>
      <c r="AZ190" s="169"/>
      <c r="BA190" s="107"/>
      <c r="BB190" s="107"/>
      <c r="BC190" s="107"/>
      <c r="BD190" s="107"/>
      <c r="BE190" s="107"/>
      <c r="BF190" s="107"/>
      <c r="BG190" s="107"/>
      <c r="BH190" s="107"/>
      <c r="BL190" s="1267">
        <f>BL306</f>
        <v>0</v>
      </c>
      <c r="BM190" s="1461"/>
      <c r="BN190" s="1461"/>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Consumo totale di elettricità</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66">
        <f>SUM(AN188:AP190)</f>
        <v>0</v>
      </c>
      <c r="AO191" s="1293"/>
      <c r="AP191" s="1293"/>
      <c r="AQ191" s="106"/>
      <c r="AR191" s="106"/>
      <c r="AS191" s="106"/>
      <c r="AT191" s="106"/>
      <c r="AU191" s="106"/>
      <c r="AV191" s="74"/>
      <c r="AW191" s="74"/>
      <c r="AX191" s="74"/>
      <c r="AY191" s="106"/>
      <c r="AZ191" s="169"/>
      <c r="BA191" s="107"/>
      <c r="BB191" s="107"/>
      <c r="BC191" s="107"/>
      <c r="BD191" s="107"/>
      <c r="BE191" s="107"/>
      <c r="BF191" s="107"/>
      <c r="BG191" s="107"/>
      <c r="BH191" s="107"/>
      <c r="BL191" s="1266">
        <f>SUM(BL188:BN190)</f>
        <v>0</v>
      </c>
      <c r="BM191" s="1293"/>
      <c r="BN191" s="1293"/>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Energia</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Freddo utilizzato</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267">
        <f>AN277</f>
        <v>0</v>
      </c>
      <c r="AO194" s="1461"/>
      <c r="AP194" s="1461"/>
      <c r="AQ194" s="106"/>
      <c r="AR194" s="106"/>
      <c r="AS194" s="106"/>
      <c r="AT194" s="106"/>
      <c r="AU194" s="106"/>
      <c r="AV194" s="74"/>
      <c r="AW194" s="74"/>
      <c r="AX194" s="74"/>
      <c r="AY194" s="106"/>
      <c r="AZ194" s="130"/>
      <c r="BA194" s="107"/>
      <c r="BB194" s="107"/>
      <c r="BC194" s="107"/>
      <c r="BD194" s="107"/>
      <c r="BE194" s="107"/>
      <c r="BF194" s="107"/>
      <c r="BG194" s="107"/>
      <c r="BH194" s="107"/>
      <c r="BL194" s="1267">
        <f>BL277</f>
        <v>0</v>
      </c>
      <c r="BM194" s="1461"/>
      <c r="BN194" s="1461"/>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Raffreddamento con la macchina refrigerante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66">
        <f>AN279</f>
        <v>0</v>
      </c>
      <c r="AO195" s="1293"/>
      <c r="AP195" s="1293"/>
      <c r="AQ195" s="106"/>
      <c r="AR195" s="106"/>
      <c r="AS195" s="106"/>
      <c r="AT195" s="106"/>
      <c r="AU195" s="106"/>
      <c r="AV195"/>
      <c r="AW195"/>
      <c r="AX195"/>
      <c r="AY195" s="106"/>
      <c r="AZ195" s="130"/>
      <c r="BA195" s="107"/>
      <c r="BB195" s="107"/>
      <c r="BC195" s="107"/>
      <c r="BD195" s="107"/>
      <c r="BE195" s="107"/>
      <c r="BF195" s="107"/>
      <c r="BG195" s="107"/>
      <c r="BH195" s="107"/>
      <c r="BL195" s="1266">
        <f>BL279</f>
        <v>0</v>
      </c>
      <c r="BM195" s="1293"/>
      <c r="BN195" s="1293"/>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Raffreddamento con il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66">
        <f>AN280</f>
        <v>0</v>
      </c>
      <c r="AO196" s="1293"/>
      <c r="AP196" s="1293"/>
      <c r="AQ196" s="106"/>
      <c r="AR196" s="106"/>
      <c r="AS196" s="106"/>
      <c r="AT196" s="106"/>
      <c r="AU196" s="106"/>
      <c r="AV196"/>
      <c r="AW196"/>
      <c r="AX196"/>
      <c r="AY196" s="106"/>
      <c r="AZ196" s="130"/>
      <c r="BA196" s="107"/>
      <c r="BB196" s="107"/>
      <c r="BC196" s="107"/>
      <c r="BD196" s="107"/>
      <c r="BE196" s="107"/>
      <c r="BF196" s="107"/>
      <c r="BG196" s="107"/>
      <c r="BH196" s="107"/>
      <c r="BL196" s="1266">
        <f>BL280</f>
        <v>0</v>
      </c>
      <c r="BM196" s="1293"/>
      <c r="BN196" s="1293"/>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Consumo elettricità</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66">
        <f>AN191</f>
        <v>0</v>
      </c>
      <c r="AO198" s="1293"/>
      <c r="AP198" s="1293"/>
      <c r="AQ198" s="106"/>
      <c r="AR198" s="106"/>
      <c r="AS198" s="106"/>
      <c r="AT198" s="106"/>
      <c r="AU198" s="106"/>
      <c r="AV198" s="74"/>
      <c r="AW198" s="74"/>
      <c r="AX198" s="74"/>
      <c r="AY198" s="106"/>
      <c r="AZ198" s="130"/>
      <c r="BA198" s="107"/>
      <c r="BB198" s="107"/>
      <c r="BC198" s="107"/>
      <c r="BD198" s="107"/>
      <c r="BE198" s="107"/>
      <c r="BF198" s="107"/>
      <c r="BG198" s="107"/>
      <c r="BH198" s="107"/>
      <c r="BL198" s="1266">
        <f>BL191</f>
        <v>0</v>
      </c>
      <c r="BM198" s="1293"/>
      <c r="BN198" s="1293"/>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 xml:space="preserve">Fattore di efficienza energetica </v>
      </c>
      <c r="I200" s="74"/>
      <c r="J200" s="74"/>
      <c r="K200" s="74"/>
      <c r="L200" s="74"/>
      <c r="M200" s="74"/>
      <c r="N200" s="74"/>
      <c r="O200" s="74"/>
      <c r="P200" s="74"/>
      <c r="Q200" s="74"/>
      <c r="R200" s="74"/>
      <c r="S200" s="74"/>
      <c r="T200" s="74"/>
      <c r="U200" s="95" t="s">
        <v>258</v>
      </c>
      <c r="V200" s="74"/>
      <c r="W200" s="74"/>
      <c r="AA200" s="106"/>
      <c r="AB200" s="434" t="str">
        <f>AM177</f>
        <v>(freddo prodotto / Consumo totale di elettricità)</v>
      </c>
      <c r="AC200" s="135"/>
      <c r="AD200" s="135"/>
      <c r="AE200" s="135"/>
      <c r="AF200" s="135"/>
      <c r="AG200" s="135"/>
      <c r="AH200" s="135"/>
      <c r="AI200" s="135"/>
      <c r="AJ200" s="135"/>
      <c r="AK200" s="106"/>
      <c r="AL200" s="106"/>
      <c r="AM200" s="106"/>
      <c r="AN200" s="1333">
        <f>IF(AN198=0,0,AN194/AN198)</f>
        <v>0</v>
      </c>
      <c r="AO200" s="1333"/>
      <c r="AP200" s="1333"/>
      <c r="AQ200" s="106"/>
      <c r="AR200" s="106"/>
      <c r="AS200" s="106"/>
      <c r="AT200" s="106"/>
      <c r="AU200" s="106"/>
      <c r="AV200" s="74"/>
      <c r="AW200" s="74"/>
      <c r="AX200" s="74"/>
      <c r="AY200" s="106"/>
      <c r="AZ200" s="435" t="str">
        <f>X!$C$16</f>
        <v>(freddo prodotto / Consumo totale di elettricità)</v>
      </c>
      <c r="BA200" s="107"/>
      <c r="BB200" s="107"/>
      <c r="BC200" s="107"/>
      <c r="BD200" s="107"/>
      <c r="BE200" s="107"/>
      <c r="BF200" s="107"/>
      <c r="BG200" s="107"/>
      <c r="BH200" s="107"/>
      <c r="BL200" s="1333">
        <f>IF(BL198=0,0,BL194/BL198)</f>
        <v>0</v>
      </c>
      <c r="BM200" s="1333"/>
      <c r="BN200" s="1333"/>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Mostrare i dettagli sul calcolo?</v>
      </c>
      <c r="I205" s="318"/>
      <c r="J205" s="318"/>
      <c r="K205" s="318"/>
      <c r="L205" s="318"/>
      <c r="M205" s="318"/>
      <c r="N205" s="318"/>
      <c r="O205" s="318"/>
      <c r="P205" s="318"/>
      <c r="Q205" s="318"/>
      <c r="R205" s="318"/>
      <c r="S205" s="318"/>
      <c r="T205" s="110"/>
      <c r="U205" s="110"/>
      <c r="V205" s="110"/>
      <c r="W205" s="1575" t="s">
        <v>215</v>
      </c>
      <c r="X205" s="1575"/>
      <c r="Y205" s="1576"/>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93" t="str">
        <f>X!C291</f>
        <v>in alto</v>
      </c>
      <c r="BF205" s="1493"/>
      <c r="BG205" s="1493"/>
      <c r="BH205" s="1493"/>
      <c r="BI205" s="1493"/>
      <c r="BJ205" s="1493"/>
      <c r="BK205" s="1493"/>
      <c r="BL205" s="1493"/>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Calcoli (A: profilo standard)</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Profilo del fabbisogno di energia di raffreddamento</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Fabbisogno potenza di refrigerazione</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57">
        <f>X43</f>
        <v>0</v>
      </c>
      <c r="AO216" s="1557"/>
      <c r="AP216" s="1557"/>
      <c r="AQ216" s="106"/>
      <c r="AR216" s="106"/>
      <c r="AS216" s="106"/>
      <c r="AT216" s="106"/>
      <c r="AU216" s="106"/>
      <c r="AV216" s="106"/>
      <c r="AW216" s="106"/>
      <c r="AX216" s="106"/>
      <c r="AY216" s="74"/>
      <c r="AZ216" s="107"/>
      <c r="BA216" s="107"/>
      <c r="BB216" s="107"/>
      <c r="BC216" s="107"/>
      <c r="BD216" s="107"/>
      <c r="BE216" s="107"/>
      <c r="BF216" s="107"/>
      <c r="BG216" s="107"/>
      <c r="BH216" s="107"/>
      <c r="BL216" s="1557">
        <f>X43</f>
        <v>0</v>
      </c>
      <c r="BM216" s="1557"/>
      <c r="BN216" s="1557"/>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Potenza di raffreddamento delle macchine</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57">
        <f>X73</f>
        <v>0</v>
      </c>
      <c r="AO217" s="1557"/>
      <c r="AP217" s="1557"/>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57">
        <f>AV73</f>
        <v>0</v>
      </c>
      <c r="BM217" s="1557"/>
      <c r="BN217" s="1557"/>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(Sovra)dimensionamento</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14">
        <f>IF(AN216=0,0,AN217/AN216)</f>
        <v>0</v>
      </c>
      <c r="AO218" s="1314"/>
      <c r="AP218" s="1314"/>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14">
        <f>IF(BL216=0,0,BL217/BL216)</f>
        <v>0</v>
      </c>
      <c r="BM218" s="1314"/>
      <c r="BN218" s="1314"/>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Ore d'esercizio macchina all'anno</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66">
        <f>AN661</f>
        <v>0</v>
      </c>
      <c r="AO219" s="1293"/>
      <c r="AP219" s="1293"/>
      <c r="AQ219" s="106"/>
      <c r="AR219" s="106"/>
      <c r="AS219" s="106"/>
      <c r="AT219" s="106"/>
      <c r="AU219" s="106"/>
      <c r="AV219" s="106"/>
      <c r="AW219" s="106"/>
      <c r="AX219" s="106"/>
      <c r="AY219" s="74"/>
      <c r="AZ219" s="107"/>
      <c r="BA219" s="107"/>
      <c r="BB219" s="107"/>
      <c r="BC219" s="107"/>
      <c r="BD219" s="107"/>
      <c r="BE219" s="107"/>
      <c r="BF219" s="107"/>
      <c r="BG219" s="107"/>
      <c r="BH219" s="107"/>
      <c r="BL219" s="1266">
        <f>BL661</f>
        <v>0</v>
      </c>
      <c r="BM219" s="1293"/>
      <c r="BN219" s="1293"/>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Freddo utilizzato</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71">
        <f>IF(AN217*AN219&gt;100000,ROUND(AN217*AN219,-4),ROUND(AN217*AN219,-3))</f>
        <v>0</v>
      </c>
      <c r="AO220" s="1471"/>
      <c r="AP220" s="1471"/>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71">
        <f>IF(BL217*BL219&gt;100000,ROUND(BL217*BL219,-4),ROUND(BL217*BL219,-3))</f>
        <v>0</v>
      </c>
      <c r="BM220" s="1471"/>
      <c r="BN220" s="1471"/>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Consumo elettricità macchina</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Freddo utilizzato</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71">
        <f>AN220</f>
        <v>0</v>
      </c>
      <c r="AO225" s="1557"/>
      <c r="AP225" s="1557"/>
      <c r="AQ225" s="106"/>
      <c r="AR225" s="106"/>
      <c r="AS225" s="106"/>
      <c r="AT225" s="106"/>
      <c r="AU225" s="106"/>
      <c r="AV225" s="106"/>
      <c r="AW225" s="106"/>
      <c r="AX225" s="106"/>
      <c r="AY225" s="74"/>
      <c r="AZ225"/>
      <c r="BA225"/>
      <c r="BB225"/>
      <c r="BC225"/>
      <c r="BD225"/>
      <c r="BE225"/>
      <c r="BF225"/>
      <c r="BG225"/>
      <c r="BH225"/>
      <c r="BL225" s="1471">
        <f>BL220</f>
        <v>0</v>
      </c>
      <c r="BM225" s="1557"/>
      <c r="BN225" s="1557"/>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Raffreddamento con il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14">
        <f>X458*X459</f>
        <v>0</v>
      </c>
      <c r="AO226" s="1314"/>
      <c r="AP226" s="1314"/>
      <c r="AQ226" s="106"/>
      <c r="AR226" s="106"/>
      <c r="AS226" s="106"/>
      <c r="AT226" s="106"/>
      <c r="AU226" s="106"/>
      <c r="AV226" s="106"/>
      <c r="AW226" s="106"/>
      <c r="AX226" s="106"/>
      <c r="AY226" s="74"/>
      <c r="AZ226"/>
      <c r="BA226"/>
      <c r="BB226"/>
      <c r="BC226"/>
      <c r="BD226"/>
      <c r="BE226"/>
      <c r="BF226"/>
      <c r="BG226"/>
      <c r="BH226"/>
      <c r="BL226" s="1314">
        <f>AV458*AV459</f>
        <v>0</v>
      </c>
      <c r="BM226" s="1314"/>
      <c r="BN226" s="1314"/>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Raffreddamento con la macchina refrigerante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71">
        <f>X463</f>
        <v>0</v>
      </c>
      <c r="AO227" s="1557"/>
      <c r="AP227" s="1557"/>
      <c r="AQ227" s="106"/>
      <c r="AR227" s="106"/>
      <c r="AS227" s="106"/>
      <c r="AT227" s="106"/>
      <c r="AU227" s="106"/>
      <c r="AV227" s="106"/>
      <c r="AW227" s="106"/>
      <c r="AX227" s="106"/>
      <c r="AY227" s="74"/>
      <c r="AZ227"/>
      <c r="BA227"/>
      <c r="BB227"/>
      <c r="BC227"/>
      <c r="BD227"/>
      <c r="BE227"/>
      <c r="BF227"/>
      <c r="BG227"/>
      <c r="BH227"/>
      <c r="BL227" s="1471">
        <f>AV463</f>
        <v>0</v>
      </c>
      <c r="BM227" s="1557"/>
      <c r="BN227" s="1557"/>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Raffreddamento con il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71">
        <f>X462</f>
        <v>0</v>
      </c>
      <c r="AO228" s="1557"/>
      <c r="AP228" s="1557"/>
      <c r="AQ228" s="106"/>
      <c r="AR228" s="106"/>
      <c r="AS228" s="106"/>
      <c r="AT228" s="106"/>
      <c r="AU228" s="106"/>
      <c r="AV228" s="106"/>
      <c r="AW228" s="106"/>
      <c r="AX228" s="106"/>
      <c r="AY228" s="74"/>
      <c r="AZ228"/>
      <c r="BA228"/>
      <c r="BB228"/>
      <c r="BC228"/>
      <c r="BD228"/>
      <c r="BE228"/>
      <c r="BF228"/>
      <c r="BG228"/>
      <c r="BH228"/>
      <c r="BL228" s="1471">
        <f>AV462</f>
        <v>0</v>
      </c>
      <c r="BM228" s="1557"/>
      <c r="BN228" s="1557"/>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57">
        <f>X77</f>
        <v>0</v>
      </c>
      <c r="AO230" s="1557"/>
      <c r="AP230" s="1557"/>
      <c r="AQ230" s="106"/>
      <c r="AR230" s="106"/>
      <c r="AS230" s="106"/>
      <c r="AT230" s="106"/>
      <c r="AU230" s="106"/>
      <c r="AV230" s="106"/>
      <c r="AW230" s="106"/>
      <c r="AX230" s="106"/>
      <c r="AY230" s="74"/>
      <c r="AZ230"/>
      <c r="BA230"/>
      <c r="BB230"/>
      <c r="BC230"/>
      <c r="BD230"/>
      <c r="BE230"/>
      <c r="BF230"/>
      <c r="BG230"/>
      <c r="BH230"/>
      <c r="BJ230" s="58" t="str">
        <f>BB346</f>
        <v/>
      </c>
      <c r="BL230" s="1557">
        <f>AV77</f>
        <v>0</v>
      </c>
      <c r="BM230" s="1557"/>
      <c r="BN230" s="1557"/>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Consumo elettrico macchina</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94">
        <f>X469</f>
        <v>0</v>
      </c>
      <c r="AO231" s="1494"/>
      <c r="AP231" s="1494"/>
      <c r="AQ231" s="106"/>
      <c r="AR231" s="106"/>
      <c r="AS231" s="106"/>
      <c r="AT231" s="106"/>
      <c r="AU231" s="106"/>
      <c r="AV231" s="106"/>
      <c r="AW231" s="106"/>
      <c r="AX231" s="106"/>
      <c r="AY231" s="74"/>
      <c r="AZ231"/>
      <c r="BA231"/>
      <c r="BB231"/>
      <c r="BC231"/>
      <c r="BD231"/>
      <c r="BE231"/>
      <c r="BF231"/>
      <c r="BG231"/>
      <c r="BH231"/>
      <c r="BL231" s="1494">
        <f>AV469</f>
        <v>0</v>
      </c>
      <c r="BM231" s="1494"/>
      <c r="BN231" s="1494"/>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Consumo elettricità aggregati ausiliari «parte calda»</v>
      </c>
      <c r="J236" s="34"/>
      <c r="K236" s="34"/>
      <c r="L236" s="34"/>
      <c r="M236" s="34"/>
      <c r="N236" s="34"/>
      <c r="O236" s="34"/>
      <c r="P236" s="34"/>
      <c r="Q236" s="34"/>
      <c r="R236" s="34"/>
      <c r="S236" s="34"/>
      <c r="T236" s="34"/>
      <c r="U236" s="182"/>
      <c r="V236" s="34"/>
      <c r="X236" s="1542" t="s">
        <v>127</v>
      </c>
      <c r="Y236" s="1542"/>
      <c r="Z236" s="1542"/>
      <c r="AA236" s="37"/>
      <c r="AB236" s="1556" t="str">
        <f>X!$C$205</f>
        <v>Regolazione</v>
      </c>
      <c r="AC236" s="1542"/>
      <c r="AD236" s="1542"/>
      <c r="AE236" s="37"/>
      <c r="AF236" s="1556" t="str">
        <f>X!$C$192</f>
        <v>Pe (corr.)</v>
      </c>
      <c r="AG236" s="1542"/>
      <c r="AH236" s="1542"/>
      <c r="AI236" s="34"/>
      <c r="AJ236" s="1556" t="str">
        <f>X!$C$163</f>
        <v>Durata</v>
      </c>
      <c r="AK236" s="1542"/>
      <c r="AL236" s="1542"/>
      <c r="AM236" s="34"/>
      <c r="AN236" s="1556" t="s">
        <v>1680</v>
      </c>
      <c r="AO236" s="1542"/>
      <c r="AP236" s="1542"/>
      <c r="AR236" s="106"/>
      <c r="AS236" s="106"/>
      <c r="AT236" s="106"/>
      <c r="AU236" s="106"/>
      <c r="AV236" s="1542" t="s">
        <v>127</v>
      </c>
      <c r="AW236" s="1542"/>
      <c r="AX236" s="1542"/>
      <c r="AY236" s="37"/>
      <c r="AZ236" s="1542" t="str">
        <f>AB236</f>
        <v>Regolazione</v>
      </c>
      <c r="BA236" s="1542"/>
      <c r="BB236" s="1542"/>
      <c r="BC236" s="37"/>
      <c r="BD236" s="1542" t="str">
        <f>AF236</f>
        <v>Pe (corr.)</v>
      </c>
      <c r="BE236" s="1542"/>
      <c r="BF236" s="1542"/>
      <c r="BG236" s="34"/>
      <c r="BH236" s="1556" t="str">
        <f>X!$C$163</f>
        <v>Durata</v>
      </c>
      <c r="BI236" s="1542"/>
      <c r="BJ236" s="1542"/>
      <c r="BK236" s="34"/>
      <c r="BL236" s="1556" t="s">
        <v>1680</v>
      </c>
      <c r="BM236" s="1542"/>
      <c r="BN236" s="1542"/>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288" t="str">
        <f>I84</f>
        <v>Pompe circolazione caldo</v>
      </c>
      <c r="I239" s="1288"/>
      <c r="J239" s="1288"/>
      <c r="K239" s="1288"/>
      <c r="L239" s="1288"/>
      <c r="M239" s="1288"/>
      <c r="N239" s="1288"/>
      <c r="O239" s="1288"/>
      <c r="P239" s="1288"/>
      <c r="Q239" s="1288"/>
      <c r="R239" s="1288"/>
      <c r="S239" s="1288"/>
      <c r="T239" s="95"/>
      <c r="U239" s="95"/>
      <c r="V239" s="95"/>
      <c r="W239"/>
      <c r="X239" s="1333">
        <f>X84</f>
        <v>0</v>
      </c>
      <c r="Y239" s="1333"/>
      <c r="Z239" s="1333"/>
      <c r="AA239" s="106"/>
      <c r="AB239" s="1334">
        <f>-AP521</f>
        <v>0</v>
      </c>
      <c r="AC239" s="1335"/>
      <c r="AD239" s="1335"/>
      <c r="AE239" s="70"/>
      <c r="AF239" s="1333">
        <f>X239*(1+AB239)</f>
        <v>0</v>
      </c>
      <c r="AG239" s="1333"/>
      <c r="AH239" s="1333"/>
      <c r="AI239"/>
      <c r="AJ239" s="1266">
        <f>X490</f>
        <v>0</v>
      </c>
      <c r="AK239" s="1266"/>
      <c r="AL239" s="1266"/>
      <c r="AM239"/>
      <c r="AN239" s="1266">
        <f>ROUND(AF239*AJ239,-2)</f>
        <v>0</v>
      </c>
      <c r="AO239" s="1266"/>
      <c r="AP239" s="1266"/>
      <c r="AQ239"/>
      <c r="AR239" s="106"/>
      <c r="AS239" s="106"/>
      <c r="AT239" s="106"/>
      <c r="AU239" s="106"/>
      <c r="AV239" s="1333">
        <f>AV84</f>
        <v>0</v>
      </c>
      <c r="AW239" s="1333"/>
      <c r="AX239" s="1333"/>
      <c r="AY239" s="106"/>
      <c r="AZ239" s="1334">
        <f>-BN521</f>
        <v>0</v>
      </c>
      <c r="BA239" s="1335"/>
      <c r="BB239" s="1335"/>
      <c r="BC239" s="70"/>
      <c r="BD239" s="1333">
        <f>AV239*(1+AZ239)</f>
        <v>0</v>
      </c>
      <c r="BE239" s="1333"/>
      <c r="BF239" s="1333"/>
      <c r="BG239"/>
      <c r="BH239" s="1266">
        <f>AV490</f>
        <v>0</v>
      </c>
      <c r="BI239" s="1266"/>
      <c r="BJ239" s="1266"/>
      <c r="BK239"/>
      <c r="BL239" s="1266">
        <f t="shared" ref="BL239:BL242" si="0">ROUND(BD239*BH239,-2)</f>
        <v>0</v>
      </c>
      <c r="BM239" s="1266"/>
      <c r="BN239" s="1266"/>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288" t="str">
        <f>I86</f>
        <v>Pompe nebulizzazione</v>
      </c>
      <c r="I240" s="1288"/>
      <c r="J240" s="1288"/>
      <c r="K240" s="1288"/>
      <c r="L240" s="1288"/>
      <c r="M240" s="1288"/>
      <c r="N240" s="1288"/>
      <c r="O240" s="1288"/>
      <c r="P240" s="1288"/>
      <c r="Q240" s="1288"/>
      <c r="R240" s="1288"/>
      <c r="S240" s="1288"/>
      <c r="T240" s="74"/>
      <c r="U240" s="95"/>
      <c r="V240" s="74"/>
      <c r="W240"/>
      <c r="X240" s="1333">
        <f>X86</f>
        <v>0</v>
      </c>
      <c r="Y240" s="1333"/>
      <c r="Z240" s="1333"/>
      <c r="AA240" s="106"/>
      <c r="AB240" s="1334">
        <f>-AP531</f>
        <v>0</v>
      </c>
      <c r="AC240" s="1335"/>
      <c r="AD240" s="1335"/>
      <c r="AE240" s="70"/>
      <c r="AF240" s="1333">
        <f>X240*(1+AB240)</f>
        <v>0</v>
      </c>
      <c r="AG240" s="1333"/>
      <c r="AH240" s="1333"/>
      <c r="AI240"/>
      <c r="AJ240" s="1266">
        <f t="shared" ref="AJ240:AJ242" si="1">X491</f>
        <v>0</v>
      </c>
      <c r="AK240" s="1266"/>
      <c r="AL240" s="1266"/>
      <c r="AM240"/>
      <c r="AN240" s="1266">
        <f t="shared" ref="AN240:AN242" si="2">ROUND(AF240*AJ240,-2)</f>
        <v>0</v>
      </c>
      <c r="AO240" s="1266"/>
      <c r="AP240" s="1266"/>
      <c r="AQ240"/>
      <c r="AR240"/>
      <c r="AS240" s="74"/>
      <c r="AT240" s="74"/>
      <c r="AU240" s="74"/>
      <c r="AV240" s="1333">
        <f>AV86</f>
        <v>0</v>
      </c>
      <c r="AW240" s="1333"/>
      <c r="AX240" s="1333"/>
      <c r="AY240" s="106"/>
      <c r="AZ240" s="1334">
        <f>-BN531</f>
        <v>0</v>
      </c>
      <c r="BA240" s="1335"/>
      <c r="BB240" s="1335"/>
      <c r="BC240" s="70"/>
      <c r="BD240" s="1333">
        <f>AV240*(1+AZ240)</f>
        <v>0</v>
      </c>
      <c r="BE240" s="1333"/>
      <c r="BF240" s="1333"/>
      <c r="BG240"/>
      <c r="BH240" s="1266">
        <f t="shared" ref="BH240:BH242" si="3">AV491</f>
        <v>0</v>
      </c>
      <c r="BI240" s="1266"/>
      <c r="BJ240" s="1266"/>
      <c r="BK240"/>
      <c r="BL240" s="1266">
        <f t="shared" si="0"/>
        <v>0</v>
      </c>
      <c r="BM240" s="1266"/>
      <c r="BN240" s="1266"/>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288" t="str">
        <f>I88</f>
        <v>Ventilatori raffreddato /condensatore</v>
      </c>
      <c r="I241" s="1288"/>
      <c r="J241" s="1288"/>
      <c r="K241" s="1288"/>
      <c r="L241" s="1288"/>
      <c r="M241" s="1288"/>
      <c r="N241" s="1288"/>
      <c r="O241" s="1288"/>
      <c r="P241" s="1288"/>
      <c r="Q241" s="1288"/>
      <c r="R241" s="1288"/>
      <c r="S241" s="1288"/>
      <c r="T241" s="74"/>
      <c r="U241" s="95"/>
      <c r="V241" s="74"/>
      <c r="W241" s="74"/>
      <c r="X241" s="1333">
        <f>X88</f>
        <v>0</v>
      </c>
      <c r="Y241" s="1333"/>
      <c r="Z241" s="1333"/>
      <c r="AA241" s="106"/>
      <c r="AB241" s="1334">
        <f>-AP541</f>
        <v>0</v>
      </c>
      <c r="AC241" s="1335"/>
      <c r="AD241" s="1335"/>
      <c r="AE241" s="70"/>
      <c r="AF241" s="1333">
        <f>X241*(1+AB241)</f>
        <v>0</v>
      </c>
      <c r="AG241" s="1333"/>
      <c r="AH241" s="1333"/>
      <c r="AI241"/>
      <c r="AJ241" s="1266">
        <f t="shared" si="1"/>
        <v>0</v>
      </c>
      <c r="AK241" s="1266"/>
      <c r="AL241" s="1266"/>
      <c r="AM241"/>
      <c r="AN241" s="1266">
        <f t="shared" si="2"/>
        <v>0</v>
      </c>
      <c r="AO241" s="1266"/>
      <c r="AP241" s="1266"/>
      <c r="AQ241"/>
      <c r="AR241"/>
      <c r="AS241" s="74"/>
      <c r="AT241" s="74"/>
      <c r="AU241" s="74"/>
      <c r="AV241" s="1333">
        <f>AV88</f>
        <v>0</v>
      </c>
      <c r="AW241" s="1333"/>
      <c r="AX241" s="1333"/>
      <c r="AY241" s="106"/>
      <c r="AZ241" s="1334">
        <f>-BN541</f>
        <v>0</v>
      </c>
      <c r="BA241" s="1335"/>
      <c r="BB241" s="1335"/>
      <c r="BC241" s="70"/>
      <c r="BD241" s="1333">
        <f>AV241*(1+AZ241)</f>
        <v>0</v>
      </c>
      <c r="BE241" s="1333"/>
      <c r="BF241" s="1333"/>
      <c r="BG241"/>
      <c r="BH241" s="1266">
        <f t="shared" si="3"/>
        <v>0</v>
      </c>
      <c r="BI241" s="1266"/>
      <c r="BJ241" s="1266"/>
      <c r="BK241"/>
      <c r="BL241" s="1266">
        <f t="shared" si="0"/>
        <v>0</v>
      </c>
      <c r="BM241" s="1266"/>
      <c r="BN241" s="1266"/>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333">
        <f>X90</f>
        <v>0</v>
      </c>
      <c r="Y242" s="1333"/>
      <c r="Z242" s="1333"/>
      <c r="AA242" s="106"/>
      <c r="AB242" s="1404">
        <f>-AP551</f>
        <v>0</v>
      </c>
      <c r="AC242" s="1293"/>
      <c r="AD242" s="1293"/>
      <c r="AE242" s="70"/>
      <c r="AF242" s="1333">
        <f>X242*(1+AB242)</f>
        <v>0</v>
      </c>
      <c r="AG242" s="1333"/>
      <c r="AH242" s="1333"/>
      <c r="AI242"/>
      <c r="AJ242" s="1266">
        <f t="shared" si="1"/>
        <v>0</v>
      </c>
      <c r="AK242" s="1266"/>
      <c r="AL242" s="1266"/>
      <c r="AM242"/>
      <c r="AN242" s="1266">
        <f t="shared" si="2"/>
        <v>0</v>
      </c>
      <c r="AO242" s="1266"/>
      <c r="AP242" s="1266"/>
      <c r="AQ242"/>
      <c r="AR242"/>
      <c r="AS242" s="74"/>
      <c r="AT242" s="74"/>
      <c r="AU242" s="74"/>
      <c r="AV242" s="1333">
        <f>AV90</f>
        <v>0</v>
      </c>
      <c r="AW242" s="1333"/>
      <c r="AX242" s="1333"/>
      <c r="AY242" s="106"/>
      <c r="AZ242" s="1404">
        <f>-BN551</f>
        <v>0</v>
      </c>
      <c r="BA242" s="1293"/>
      <c r="BB242" s="1293"/>
      <c r="BC242" s="70"/>
      <c r="BD242" s="1333">
        <f>AV242*(1+AZ242)</f>
        <v>0</v>
      </c>
      <c r="BE242" s="1333"/>
      <c r="BF242" s="1333"/>
      <c r="BG242"/>
      <c r="BH242" s="1266">
        <f t="shared" si="3"/>
        <v>0</v>
      </c>
      <c r="BI242" s="1266"/>
      <c r="BJ242" s="1266"/>
      <c r="BK242"/>
      <c r="BL242" s="1266">
        <f t="shared" si="0"/>
        <v>0</v>
      </c>
      <c r="BM242" s="1266"/>
      <c r="BN242" s="1266"/>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333">
        <f>X121</f>
        <v>0</v>
      </c>
      <c r="Y243" s="1333"/>
      <c r="Z243" s="1333"/>
      <c r="AA243" s="106"/>
      <c r="AB243" s="1404">
        <f>AP562</f>
        <v>0</v>
      </c>
      <c r="AC243" s="1293"/>
      <c r="AD243" s="1293"/>
      <c r="AE243" s="70"/>
      <c r="AF243" s="1333">
        <f>X243*(1+AB243)</f>
        <v>0</v>
      </c>
      <c r="AG243" s="1333"/>
      <c r="AH243" s="1333"/>
      <c r="AI243"/>
      <c r="AJ243" s="1266">
        <f>X494</f>
        <v>0</v>
      </c>
      <c r="AK243" s="1266"/>
      <c r="AL243" s="1266"/>
      <c r="AM243"/>
      <c r="AN243" s="1266">
        <f t="shared" ref="AN243" si="4">ROUND(AF243*AJ243,-2)</f>
        <v>0</v>
      </c>
      <c r="AO243" s="1266"/>
      <c r="AP243" s="1266"/>
      <c r="AQ243"/>
      <c r="AR243"/>
      <c r="AS243" s="74"/>
      <c r="AT243" s="74"/>
      <c r="AU243" s="74"/>
      <c r="AV243" s="1333">
        <f>AV121</f>
        <v>0</v>
      </c>
      <c r="AW243" s="1333"/>
      <c r="AX243" s="1333"/>
      <c r="AY243" s="106"/>
      <c r="AZ243" s="1404">
        <f>BN562</f>
        <v>0</v>
      </c>
      <c r="BA243" s="1293"/>
      <c r="BB243" s="1293"/>
      <c r="BC243" s="70"/>
      <c r="BD243" s="1333">
        <f>AV243*(1+AZ243)</f>
        <v>0</v>
      </c>
      <c r="BE243" s="1333"/>
      <c r="BF243" s="1333"/>
      <c r="BG243"/>
      <c r="BH243" s="1266">
        <f>AV494</f>
        <v>0</v>
      </c>
      <c r="BI243" s="1266"/>
      <c r="BJ243" s="1266"/>
      <c r="BK243"/>
      <c r="BL243" s="1266">
        <f t="shared" ref="BL243" si="5">ROUND(BD243*BH243,-2)</f>
        <v>0</v>
      </c>
      <c r="BM243" s="1266"/>
      <c r="BN243" s="1266"/>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58" t="str">
        <f>X!$C$232</f>
        <v>Totale</v>
      </c>
      <c r="I244" s="1559"/>
      <c r="J244" s="1559"/>
      <c r="K244" s="1559"/>
      <c r="L244" s="1559"/>
      <c r="M244" s="1559"/>
      <c r="N244" s="1559"/>
      <c r="O244" s="1559"/>
      <c r="P244" s="1559"/>
      <c r="Q244" s="1559"/>
      <c r="R244" s="1559"/>
      <c r="S244" s="1559"/>
      <c r="T244" s="115"/>
      <c r="U244" s="151"/>
      <c r="V244" s="115"/>
      <c r="W244" s="115"/>
      <c r="X244" s="1303"/>
      <c r="Y244" s="1303"/>
      <c r="Z244" s="1303"/>
      <c r="AA244" s="137"/>
      <c r="AB244" s="1359"/>
      <c r="AC244" s="1359"/>
      <c r="AD244" s="1359"/>
      <c r="AE244" s="178"/>
      <c r="AF244" s="1333"/>
      <c r="AG244" s="1333"/>
      <c r="AH244" s="1333"/>
      <c r="AI244" s="179"/>
      <c r="AJ244" s="1266"/>
      <c r="AK244" s="1266"/>
      <c r="AL244" s="1266"/>
      <c r="AM244" s="179"/>
      <c r="AN244" s="1266">
        <f>SUM(AN239:AP243)</f>
        <v>0</v>
      </c>
      <c r="AO244" s="1266"/>
      <c r="AP244" s="1266"/>
      <c r="AQ244" s="179"/>
      <c r="AR244" s="179"/>
      <c r="AS244" s="115"/>
      <c r="AT244" s="115"/>
      <c r="AU244" s="115"/>
      <c r="AV244" s="1303"/>
      <c r="AW244" s="1303"/>
      <c r="AX244" s="1303"/>
      <c r="AY244" s="137"/>
      <c r="AZ244" s="1359"/>
      <c r="BA244" s="1359"/>
      <c r="BB244" s="1359"/>
      <c r="BC244" s="178"/>
      <c r="BD244" s="1333"/>
      <c r="BE244" s="1333"/>
      <c r="BF244" s="1333"/>
      <c r="BG244" s="179"/>
      <c r="BH244" s="1333"/>
      <c r="BI244" s="1333"/>
      <c r="BJ244" s="1333"/>
      <c r="BK244" s="179"/>
      <c r="BL244" s="1266">
        <f>SUM(BL239:BN243)</f>
        <v>0</v>
      </c>
      <c r="BM244" s="1266"/>
      <c r="BN244" s="1266"/>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58" t="str">
        <f>CONCATENATE(X!$C$232," (",X!$C$386,")")</f>
        <v>Totale (arrotondati)</v>
      </c>
      <c r="I246" s="1559"/>
      <c r="J246" s="1559"/>
      <c r="K246" s="1559"/>
      <c r="L246" s="1559"/>
      <c r="M246" s="1559"/>
      <c r="N246" s="1559"/>
      <c r="O246" s="1559"/>
      <c r="P246" s="1559"/>
      <c r="Q246" s="1559"/>
      <c r="R246" s="1559"/>
      <c r="S246" s="1559"/>
      <c r="T246" s="115"/>
      <c r="U246" s="151"/>
      <c r="V246" s="115"/>
      <c r="W246" s="115"/>
      <c r="X246" s="1303"/>
      <c r="Y246" s="1303"/>
      <c r="Z246" s="1303"/>
      <c r="AA246" s="137"/>
      <c r="AB246" s="1359"/>
      <c r="AC246" s="1359"/>
      <c r="AD246" s="1359"/>
      <c r="AE246" s="178"/>
      <c r="AF246" s="1494"/>
      <c r="AG246" s="1494"/>
      <c r="AH246" s="1494"/>
      <c r="AI246" s="179"/>
      <c r="AJ246" s="1494"/>
      <c r="AK246" s="1494"/>
      <c r="AL246" s="1494"/>
      <c r="AM246" s="179"/>
      <c r="AN246" s="1582">
        <f>IF(AN244&gt;10000,ROUND(AN244,-3),ROUND(AN244,-2))</f>
        <v>0</v>
      </c>
      <c r="AO246" s="1582"/>
      <c r="AP246" s="1582"/>
      <c r="AQ246" s="179"/>
      <c r="AR246" s="179"/>
      <c r="AS246" s="115"/>
      <c r="AT246" s="115"/>
      <c r="AU246" s="115"/>
      <c r="AV246" s="1303"/>
      <c r="AW246" s="1303"/>
      <c r="AX246" s="1303"/>
      <c r="AY246" s="137"/>
      <c r="AZ246" s="1359"/>
      <c r="BA246" s="1359"/>
      <c r="BB246" s="1359"/>
      <c r="BC246" s="178"/>
      <c r="BD246" s="1494"/>
      <c r="BE246" s="1494"/>
      <c r="BF246" s="1494"/>
      <c r="BG246" s="179"/>
      <c r="BH246" s="1494"/>
      <c r="BI246" s="1494"/>
      <c r="BJ246" s="1494"/>
      <c r="BK246" s="179"/>
      <c r="BL246" s="1582">
        <f>IF(BL244&gt;10000,ROUND(BL244,-3),ROUND(BL244,-2))</f>
        <v>0</v>
      </c>
      <c r="BM246" s="1582"/>
      <c r="BN246" s="1582"/>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Consumo elettricità aggregati ausiliari «parte fredda»</v>
      </c>
      <c r="X249" s="1542" t="s">
        <v>127</v>
      </c>
      <c r="Y249" s="1542"/>
      <c r="Z249" s="1542"/>
      <c r="AA249" s="37"/>
      <c r="AB249" s="1556" t="str">
        <f>AB236</f>
        <v>Regolazione</v>
      </c>
      <c r="AC249" s="1542"/>
      <c r="AD249" s="1542"/>
      <c r="AE249" s="37"/>
      <c r="AF249" s="1556" t="str">
        <f>AF236</f>
        <v>Pe (corr.)</v>
      </c>
      <c r="AG249" s="1542"/>
      <c r="AH249" s="1542"/>
      <c r="AI249" s="34"/>
      <c r="AJ249" s="1556" t="str">
        <f>X!$C$163</f>
        <v>Durata</v>
      </c>
      <c r="AK249" s="1542"/>
      <c r="AL249" s="1542"/>
      <c r="AM249" s="34"/>
      <c r="AN249" s="1556" t="s">
        <v>1680</v>
      </c>
      <c r="AO249" s="1542"/>
      <c r="AP249" s="1542"/>
      <c r="AR249" s="106"/>
      <c r="AS249" s="106"/>
      <c r="AT249" s="106"/>
      <c r="AU249" s="106"/>
      <c r="AV249" s="1542" t="s">
        <v>127</v>
      </c>
      <c r="AW249" s="1542"/>
      <c r="AX249" s="1542"/>
      <c r="AY249" s="37"/>
      <c r="AZ249" s="1542" t="str">
        <f>AZ236</f>
        <v>Regolazione</v>
      </c>
      <c r="BA249" s="1542"/>
      <c r="BB249" s="1542"/>
      <c r="BC249" s="37"/>
      <c r="BD249" s="1542" t="str">
        <f>BD236</f>
        <v>Pe (corr.)</v>
      </c>
      <c r="BE249" s="1542"/>
      <c r="BF249" s="1542"/>
      <c r="BG249" s="34"/>
      <c r="BH249" s="1556" t="str">
        <f>X!$C$163</f>
        <v>Durata</v>
      </c>
      <c r="BI249" s="1542"/>
      <c r="BJ249" s="1542"/>
      <c r="BK249" s="34"/>
      <c r="BL249" s="1556" t="s">
        <v>1680</v>
      </c>
      <c r="BM249" s="1542"/>
      <c r="BN249" s="1542"/>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333">
        <f>X103</f>
        <v>0</v>
      </c>
      <c r="Y252" s="1333"/>
      <c r="Z252" s="1333"/>
      <c r="AA252" s="106"/>
      <c r="AB252" s="1404">
        <f>-AP576</f>
        <v>0</v>
      </c>
      <c r="AC252" s="1293"/>
      <c r="AD252" s="1293"/>
      <c r="AE252" s="70"/>
      <c r="AF252" s="1333">
        <f>X252*(1+AB252)</f>
        <v>0</v>
      </c>
      <c r="AG252" s="1333"/>
      <c r="AH252" s="1333"/>
      <c r="AI252"/>
      <c r="AJ252" s="1266">
        <f>X475</f>
        <v>0</v>
      </c>
      <c r="AK252" s="1266"/>
      <c r="AL252" s="1266"/>
      <c r="AM252"/>
      <c r="AN252" s="1266">
        <f>ROUND(AF252*AJ252,-2)</f>
        <v>0</v>
      </c>
      <c r="AO252" s="1266"/>
      <c r="AP252" s="1266"/>
      <c r="AQ252"/>
      <c r="AR252"/>
      <c r="AS252" s="74"/>
      <c r="AT252" s="74"/>
      <c r="AU252" s="74"/>
      <c r="AV252" s="1333">
        <f>AV103</f>
        <v>0</v>
      </c>
      <c r="AW252" s="1333"/>
      <c r="AX252" s="1333"/>
      <c r="AY252" s="106"/>
      <c r="AZ252" s="1404">
        <f>-BN576</f>
        <v>0</v>
      </c>
      <c r="BA252" s="1293"/>
      <c r="BB252" s="1293"/>
      <c r="BC252" s="70"/>
      <c r="BD252" s="1333">
        <f>AV252*(1+AZ252)</f>
        <v>0</v>
      </c>
      <c r="BE252" s="1333"/>
      <c r="BF252" s="1333"/>
      <c r="BG252"/>
      <c r="BH252" s="1266">
        <f>AV475</f>
        <v>0</v>
      </c>
      <c r="BI252" s="1266"/>
      <c r="BJ252" s="1266"/>
      <c r="BK252"/>
      <c r="BL252" s="1266">
        <f>ROUND(BD252*BH252,-2)</f>
        <v>0</v>
      </c>
      <c r="BM252" s="1266"/>
      <c r="BN252" s="1266"/>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333">
        <f>X105</f>
        <v>0</v>
      </c>
      <c r="Y253" s="1333"/>
      <c r="Z253" s="1333"/>
      <c r="AA253" s="106"/>
      <c r="AB253" s="1404">
        <f>-AP586</f>
        <v>0</v>
      </c>
      <c r="AC253" s="1293"/>
      <c r="AD253" s="1293"/>
      <c r="AE253" s="70"/>
      <c r="AF253" s="1333">
        <f>X253*(1+AB253)</f>
        <v>0</v>
      </c>
      <c r="AG253" s="1333"/>
      <c r="AH253" s="1333"/>
      <c r="AI253"/>
      <c r="AJ253" s="1266">
        <f>AJ252</f>
        <v>0</v>
      </c>
      <c r="AK253" s="1266"/>
      <c r="AL253" s="1266"/>
      <c r="AM253"/>
      <c r="AN253" s="1266">
        <f>ROUND(AF253*AJ253,-2)</f>
        <v>0</v>
      </c>
      <c r="AO253" s="1266"/>
      <c r="AP253" s="1266"/>
      <c r="AQ253"/>
      <c r="AR253"/>
      <c r="AS253" s="74"/>
      <c r="AT253" s="74"/>
      <c r="AU253" s="74"/>
      <c r="AV253" s="1333">
        <f>AV105</f>
        <v>0</v>
      </c>
      <c r="AW253" s="1333"/>
      <c r="AX253" s="1333"/>
      <c r="AY253" s="106"/>
      <c r="AZ253" s="1404">
        <f>-BN586</f>
        <v>0</v>
      </c>
      <c r="BA253" s="1293"/>
      <c r="BB253" s="1293"/>
      <c r="BC253" s="70"/>
      <c r="BD253" s="1333">
        <f>AV253*(1+AZ253)</f>
        <v>0</v>
      </c>
      <c r="BE253" s="1333"/>
      <c r="BF253" s="1333"/>
      <c r="BG253"/>
      <c r="BH253" s="1266">
        <f>BH252</f>
        <v>0</v>
      </c>
      <c r="BI253" s="1266"/>
      <c r="BJ253" s="1266"/>
      <c r="BK253"/>
      <c r="BL253" s="1266">
        <f>ROUND(BD253*BH253,-2)</f>
        <v>0</v>
      </c>
      <c r="BM253" s="1266"/>
      <c r="BN253" s="1266"/>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59" t="str">
        <f>H244</f>
        <v>Totale</v>
      </c>
      <c r="I254" s="1559"/>
      <c r="J254" s="1559"/>
      <c r="K254" s="1559"/>
      <c r="L254" s="1559"/>
      <c r="M254" s="1559"/>
      <c r="N254" s="1559"/>
      <c r="O254" s="1559"/>
      <c r="P254" s="1559"/>
      <c r="Q254" s="1559"/>
      <c r="R254" s="1559"/>
      <c r="S254" s="1559"/>
      <c r="T254" s="115"/>
      <c r="U254" s="151"/>
      <c r="V254" s="115"/>
      <c r="W254" s="115"/>
      <c r="X254" s="1303"/>
      <c r="Y254" s="1303"/>
      <c r="Z254" s="1303"/>
      <c r="AA254" s="137"/>
      <c r="AB254" s="1359"/>
      <c r="AC254" s="1359"/>
      <c r="AD254" s="1359"/>
      <c r="AE254" s="178"/>
      <c r="AF254" s="1333"/>
      <c r="AG254" s="1333"/>
      <c r="AH254" s="1333"/>
      <c r="AI254" s="179"/>
      <c r="AJ254" s="1266"/>
      <c r="AK254" s="1266"/>
      <c r="AL254" s="1266"/>
      <c r="AM254"/>
      <c r="AN254" s="1266">
        <f>SUM(AN252:AP253)</f>
        <v>0</v>
      </c>
      <c r="AO254" s="1266"/>
      <c r="AP254" s="1266"/>
      <c r="AQ254" s="179"/>
      <c r="AR254" s="179"/>
      <c r="AS254" s="115"/>
      <c r="AT254" s="115"/>
      <c r="AU254" s="115"/>
      <c r="AV254" s="1303"/>
      <c r="AW254" s="1303"/>
      <c r="AX254" s="1303"/>
      <c r="AY254" s="137"/>
      <c r="AZ254" s="1359"/>
      <c r="BA254" s="1359"/>
      <c r="BB254" s="1359"/>
      <c r="BC254" s="178"/>
      <c r="BD254" s="1333"/>
      <c r="BE254" s="1333"/>
      <c r="BF254" s="1333"/>
      <c r="BG254" s="179"/>
      <c r="BH254" s="1266"/>
      <c r="BI254" s="1266"/>
      <c r="BJ254" s="1266"/>
      <c r="BK254"/>
      <c r="BL254" s="1266">
        <f>SUM(BL252:BN253)</f>
        <v>0</v>
      </c>
      <c r="BM254" s="1266"/>
      <c r="BN254" s="1266"/>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59" t="str">
        <f>H246</f>
        <v>Totale (arrotondati)</v>
      </c>
      <c r="I256" s="1559"/>
      <c r="J256" s="1559"/>
      <c r="K256" s="1559"/>
      <c r="L256" s="1559"/>
      <c r="M256" s="1559"/>
      <c r="N256" s="1559"/>
      <c r="O256" s="1559"/>
      <c r="P256" s="1559"/>
      <c r="Q256" s="1559"/>
      <c r="R256" s="1559"/>
      <c r="S256" s="1559"/>
      <c r="T256" s="115"/>
      <c r="U256" s="151"/>
      <c r="V256" s="115"/>
      <c r="W256" s="115"/>
      <c r="X256" s="1303"/>
      <c r="Y256" s="1303"/>
      <c r="Z256" s="1303"/>
      <c r="AA256" s="137"/>
      <c r="AB256" s="1359"/>
      <c r="AC256" s="1359"/>
      <c r="AD256" s="1359"/>
      <c r="AE256" s="178"/>
      <c r="AF256" s="1494"/>
      <c r="AG256" s="1494"/>
      <c r="AH256" s="1494"/>
      <c r="AI256" s="179"/>
      <c r="AJ256" s="1266"/>
      <c r="AK256" s="1266"/>
      <c r="AL256" s="1266"/>
      <c r="AM256"/>
      <c r="AN256" s="1582">
        <f>IF(AN254&gt;10000,ROUND(AN254,-3),ROUND(AN254,-2))</f>
        <v>0</v>
      </c>
      <c r="AO256" s="1582"/>
      <c r="AP256" s="1582"/>
      <c r="AQ256" s="179"/>
      <c r="AR256" s="179"/>
      <c r="AS256" s="115"/>
      <c r="AT256" s="115"/>
      <c r="AU256" s="115"/>
      <c r="AV256" s="1303"/>
      <c r="AW256" s="1303"/>
      <c r="AX256" s="1303"/>
      <c r="AY256" s="137"/>
      <c r="AZ256" s="1359"/>
      <c r="BA256" s="1359"/>
      <c r="BB256" s="1359"/>
      <c r="BC256" s="178"/>
      <c r="BD256" s="1494"/>
      <c r="BE256" s="1494"/>
      <c r="BF256" s="1494"/>
      <c r="BG256" s="179"/>
      <c r="BH256" s="1266"/>
      <c r="BI256" s="1266"/>
      <c r="BJ256" s="1266"/>
      <c r="BK256"/>
      <c r="BL256" s="1582">
        <f>IF(BL254&gt;10000,ROUND(BL254,-3),ROUND(BL254,-2))</f>
        <v>0</v>
      </c>
      <c r="BM256" s="1582"/>
      <c r="BN256" s="1582"/>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Calcoli (B: valori progettista)</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Fabbisogno energia di raffreddamento Valori progettista</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Fabbisogno potenza di refrigerazione</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57">
        <f>AN216</f>
        <v>0</v>
      </c>
      <c r="AO268" s="1557"/>
      <c r="AP268" s="1557"/>
      <c r="AQ268" s="106"/>
      <c r="AR268" s="106"/>
      <c r="AS268" s="106"/>
      <c r="AT268" s="106"/>
      <c r="AU268" s="106"/>
      <c r="AV268" s="106"/>
      <c r="AW268" s="106"/>
      <c r="AX268" s="106"/>
      <c r="AY268" s="74"/>
      <c r="AZ268" s="107"/>
      <c r="BA268" s="107"/>
      <c r="BB268" s="107"/>
      <c r="BC268" s="107"/>
      <c r="BD268" s="107"/>
      <c r="BE268" s="107"/>
      <c r="BF268" s="107"/>
      <c r="BG268" s="107"/>
      <c r="BH268" s="107"/>
      <c r="BL268" s="1557">
        <f>BL216</f>
        <v>0</v>
      </c>
      <c r="BM268" s="1557"/>
      <c r="BN268" s="1557"/>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Potenza di raffreddamento delle macchine</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57">
        <f>AN217</f>
        <v>0</v>
      </c>
      <c r="AO269" s="1557"/>
      <c r="AP269" s="1557"/>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57">
        <f>BL217</f>
        <v>0</v>
      </c>
      <c r="BM269" s="1557"/>
      <c r="BN269" s="1557"/>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(Sovra)dimensionamento</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14">
        <f>IF(AN268=0,0,AN269/AN268)</f>
        <v>0</v>
      </c>
      <c r="AO270" s="1314"/>
      <c r="AP270" s="1314"/>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14">
        <f>IF(BL268=0,0,BL269/BL268)</f>
        <v>0</v>
      </c>
      <c r="BM270" s="1314"/>
      <c r="BN270" s="1314"/>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Ore d'esercizio macchina all'anno</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66">
        <f>AN143*365</f>
        <v>0</v>
      </c>
      <c r="AO271" s="1293"/>
      <c r="AP271" s="1293"/>
      <c r="AQ271" s="106"/>
      <c r="AR271" s="106"/>
      <c r="AS271" s="106"/>
      <c r="AT271" s="106"/>
      <c r="AU271" s="106"/>
      <c r="AV271" s="106"/>
      <c r="AW271" s="106"/>
      <c r="AX271" s="106"/>
      <c r="AY271" s="74"/>
      <c r="AZ271" s="107"/>
      <c r="BA271" s="107"/>
      <c r="BB271" s="107"/>
      <c r="BC271" s="107"/>
      <c r="BD271" s="107"/>
      <c r="BE271" s="107"/>
      <c r="BF271" s="107"/>
      <c r="BG271" s="107"/>
      <c r="BH271" s="107"/>
      <c r="BL271" s="1266">
        <f>BL143*365</f>
        <v>0</v>
      </c>
      <c r="BM271" s="1293"/>
      <c r="BN271" s="1293"/>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Freddo utilizzato</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71">
        <f>IF(AN269*AN271&gt;100000,ROUND(AN269*AN271,-4),ROUND(AN269*AN271,-3))</f>
        <v>0</v>
      </c>
      <c r="AO272" s="1471"/>
      <c r="AP272" s="1471"/>
      <c r="AQ272" s="106"/>
      <c r="AR272" s="106"/>
      <c r="AS272" s="106"/>
      <c r="AT272" s="106"/>
      <c r="AU272" s="106"/>
      <c r="AV272" s="106"/>
      <c r="AW272" s="106"/>
      <c r="AX272" s="106"/>
      <c r="AY272" s="74"/>
      <c r="AZ272" s="107"/>
      <c r="BA272" s="107"/>
      <c r="BB272" s="107"/>
      <c r="BC272" s="107"/>
      <c r="BD272" s="107"/>
      <c r="BE272" s="107"/>
      <c r="BF272" s="107"/>
      <c r="BG272" s="107"/>
      <c r="BH272" s="107"/>
      <c r="BL272" s="1471">
        <f>IF(BL269*BL271&gt;100000,ROUND(BL269*BL271,-4),ROUND(BL269*BL271,-3))</f>
        <v>0</v>
      </c>
      <c r="BM272" s="1471"/>
      <c r="BN272" s="1471"/>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71"/>
      <c r="AO273" s="1471"/>
      <c r="AP273" s="1471"/>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Consumo elettricità macchina</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Freddo utilizzato</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71">
        <f>AE457</f>
        <v>0</v>
      </c>
      <c r="AO277" s="1557"/>
      <c r="AP277" s="1557"/>
      <c r="AQ277" s="106"/>
      <c r="AR277" s="106"/>
      <c r="AS277" s="106"/>
      <c r="AT277" s="106"/>
      <c r="AU277" s="106"/>
      <c r="AV277" s="106"/>
      <c r="AW277" s="106"/>
      <c r="AX277" s="106"/>
      <c r="AY277" s="74"/>
      <c r="AZ277"/>
      <c r="BA277"/>
      <c r="BB277"/>
      <c r="BC277"/>
      <c r="BD277"/>
      <c r="BE277"/>
      <c r="BF277"/>
      <c r="BG277"/>
      <c r="BH277"/>
      <c r="BL277" s="1471">
        <f>BC457</f>
        <v>0</v>
      </c>
      <c r="BM277" s="1557"/>
      <c r="BN277" s="155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Raffreddamento con il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14">
        <f>AE458*AE459</f>
        <v>0</v>
      </c>
      <c r="AO278" s="1314"/>
      <c r="AP278" s="1314"/>
      <c r="AQ278" s="106"/>
      <c r="AR278" s="106"/>
      <c r="AS278" s="106"/>
      <c r="AT278" s="106"/>
      <c r="AU278" s="106"/>
      <c r="AV278" s="106"/>
      <c r="AW278" s="106"/>
      <c r="AX278" s="106"/>
      <c r="AY278" s="74"/>
      <c r="AZ278"/>
      <c r="BA278"/>
      <c r="BB278"/>
      <c r="BC278"/>
      <c r="BD278"/>
      <c r="BE278"/>
      <c r="BF278"/>
      <c r="BG278"/>
      <c r="BH278"/>
      <c r="BL278" s="1314">
        <f>BC458*BC459</f>
        <v>0</v>
      </c>
      <c r="BM278" s="1314"/>
      <c r="BN278" s="1314"/>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Raffreddamento con la macchina refrigerante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71">
        <f>AE463</f>
        <v>0</v>
      </c>
      <c r="AO279" s="1557"/>
      <c r="AP279" s="1557"/>
      <c r="AQ279" s="106"/>
      <c r="AR279" s="106"/>
      <c r="AS279" s="106"/>
      <c r="AT279" s="106"/>
      <c r="AU279" s="106"/>
      <c r="AV279" s="106"/>
      <c r="AW279" s="106"/>
      <c r="AX279" s="106"/>
      <c r="AY279" s="74"/>
      <c r="AZ279"/>
      <c r="BA279"/>
      <c r="BB279"/>
      <c r="BC279"/>
      <c r="BD279"/>
      <c r="BE279"/>
      <c r="BF279"/>
      <c r="BG279"/>
      <c r="BH279"/>
      <c r="BL279" s="1471">
        <f>BC463</f>
        <v>0</v>
      </c>
      <c r="BM279" s="1557"/>
      <c r="BN279" s="155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Raffreddamento con il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71">
        <f>AE462</f>
        <v>0</v>
      </c>
      <c r="AO280" s="1557"/>
      <c r="AP280" s="1557"/>
      <c r="AQ280" s="106"/>
      <c r="AR280" s="106"/>
      <c r="AS280" s="106"/>
      <c r="AT280" s="106"/>
      <c r="AU280" s="106"/>
      <c r="AV280" s="106"/>
      <c r="AW280" s="106"/>
      <c r="AX280" s="106"/>
      <c r="AY280" s="74"/>
      <c r="AZ280"/>
      <c r="BA280"/>
      <c r="BB280"/>
      <c r="BC280"/>
      <c r="BD280"/>
      <c r="BE280"/>
      <c r="BF280"/>
      <c r="BG280"/>
      <c r="BH280"/>
      <c r="BL280" s="1471">
        <f>BC462</f>
        <v>0</v>
      </c>
      <c r="BM280" s="1557"/>
      <c r="BN280" s="155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57">
        <f>AN230</f>
        <v>0</v>
      </c>
      <c r="AO282" s="1557"/>
      <c r="AP282" s="1557"/>
      <c r="AQ282" s="106"/>
      <c r="AR282" s="106"/>
      <c r="AS282" s="106"/>
      <c r="AT282" s="106"/>
      <c r="AU282" s="106"/>
      <c r="AV282" s="106"/>
      <c r="AW282" s="106"/>
      <c r="AX282" s="106"/>
      <c r="AY282" s="74"/>
      <c r="AZ282"/>
      <c r="BA282"/>
      <c r="BB282"/>
      <c r="BC282"/>
      <c r="BD282"/>
      <c r="BE282"/>
      <c r="BF282"/>
      <c r="BG282"/>
      <c r="BH282"/>
      <c r="BJ282" s="58" t="str">
        <f>BJ230</f>
        <v/>
      </c>
      <c r="BL282" s="1557">
        <f>BL230</f>
        <v>0</v>
      </c>
      <c r="BM282" s="1557"/>
      <c r="BN282" s="1557"/>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Consumo elettrico macchina</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94">
        <f>AE469</f>
        <v>0</v>
      </c>
      <c r="AO283" s="1494"/>
      <c r="AP283" s="1494"/>
      <c r="AQ283" s="106"/>
      <c r="AR283" s="106"/>
      <c r="AS283" s="106"/>
      <c r="AT283" s="106"/>
      <c r="AU283" s="106"/>
      <c r="AV283" s="106"/>
      <c r="AW283" s="106"/>
      <c r="AX283" s="106"/>
      <c r="AY283" s="74"/>
      <c r="AZ283"/>
      <c r="BA283"/>
      <c r="BB283"/>
      <c r="BC283"/>
      <c r="BD283"/>
      <c r="BE283"/>
      <c r="BF283"/>
      <c r="BG283"/>
      <c r="BH283"/>
      <c r="BL283" s="1494">
        <f>BC469</f>
        <v>0</v>
      </c>
      <c r="BM283" s="1494"/>
      <c r="BN283" s="1494"/>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Consumo elettricità aggregati ausiliari «parte calda»</v>
      </c>
      <c r="X286" s="1542" t="s">
        <v>127</v>
      </c>
      <c r="Y286" s="1542"/>
      <c r="Z286" s="1542"/>
      <c r="AA286" s="37"/>
      <c r="AB286" s="1556" t="str">
        <f>X!$C$205</f>
        <v>Regolazione</v>
      </c>
      <c r="AC286" s="1542"/>
      <c r="AD286" s="1542"/>
      <c r="AE286" s="37"/>
      <c r="AF286" s="1556" t="str">
        <f>X!$C$192</f>
        <v>Pe (corr.)</v>
      </c>
      <c r="AG286" s="1542"/>
      <c r="AH286" s="1542"/>
      <c r="AI286" s="34"/>
      <c r="AJ286" s="1556" t="str">
        <f>X!$C$163</f>
        <v>Durata</v>
      </c>
      <c r="AK286" s="1542"/>
      <c r="AL286" s="1542"/>
      <c r="AM286" s="34"/>
      <c r="AN286" s="1556" t="s">
        <v>1680</v>
      </c>
      <c r="AO286" s="1542"/>
      <c r="AP286" s="1542"/>
      <c r="AR286" s="106"/>
      <c r="AS286" s="106"/>
      <c r="AT286" s="106"/>
      <c r="AU286" s="106"/>
      <c r="AV286" s="1542" t="s">
        <v>127</v>
      </c>
      <c r="AW286" s="1542"/>
      <c r="AX286" s="1542"/>
      <c r="AY286" s="37"/>
      <c r="AZ286" s="1542" t="str">
        <f>AB286</f>
        <v>Regolazione</v>
      </c>
      <c r="BA286" s="1542"/>
      <c r="BB286" s="1542"/>
      <c r="BC286" s="37"/>
      <c r="BD286" s="1542" t="str">
        <f>AF286</f>
        <v>Pe (corr.)</v>
      </c>
      <c r="BE286" s="1542"/>
      <c r="BF286" s="1542"/>
      <c r="BG286" s="34"/>
      <c r="BH286" s="1556" t="str">
        <f>X!$C$163</f>
        <v>Durata</v>
      </c>
      <c r="BI286" s="1542"/>
      <c r="BJ286" s="1542"/>
      <c r="BK286" s="34"/>
      <c r="BL286" s="1556" t="s">
        <v>1680</v>
      </c>
      <c r="BM286" s="1542"/>
      <c r="BN286" s="1542"/>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288" t="str">
        <f>H239</f>
        <v>Pompe circolazione caldo</v>
      </c>
      <c r="I289" s="1288"/>
      <c r="J289" s="1288"/>
      <c r="K289" s="1288"/>
      <c r="L289" s="1288"/>
      <c r="M289" s="1288"/>
      <c r="N289" s="1288"/>
      <c r="O289" s="1288"/>
      <c r="P289" s="1288"/>
      <c r="Q289" s="1288"/>
      <c r="R289" s="1288"/>
      <c r="S289" s="1288"/>
      <c r="T289" s="95"/>
      <c r="U289" s="95"/>
      <c r="V289" s="95"/>
      <c r="W289"/>
      <c r="X289" s="1333">
        <f>X239</f>
        <v>0</v>
      </c>
      <c r="Y289" s="1333"/>
      <c r="Z289" s="1333"/>
      <c r="AA289" s="106"/>
      <c r="AB289" s="1334">
        <f>AB239</f>
        <v>0</v>
      </c>
      <c r="AC289" s="1335"/>
      <c r="AD289" s="1335"/>
      <c r="AE289" s="70"/>
      <c r="AF289" s="1333">
        <f>X289*(1+AB289)</f>
        <v>0</v>
      </c>
      <c r="AG289" s="1333"/>
      <c r="AH289" s="1333"/>
      <c r="AI289"/>
      <c r="AJ289" s="1266">
        <f>AE490</f>
        <v>0</v>
      </c>
      <c r="AK289" s="1266"/>
      <c r="AL289" s="1266"/>
      <c r="AM289"/>
      <c r="AN289" s="1266">
        <f>ROUND(AF289*AJ289,-2)</f>
        <v>0</v>
      </c>
      <c r="AO289" s="1266"/>
      <c r="AP289" s="1266"/>
      <c r="AQ289"/>
      <c r="AR289" s="106"/>
      <c r="AS289" s="106"/>
      <c r="AT289" s="106"/>
      <c r="AU289" s="106"/>
      <c r="AV289" s="1333">
        <f>AV239</f>
        <v>0</v>
      </c>
      <c r="AW289" s="1333"/>
      <c r="AX289" s="1333"/>
      <c r="AY289" s="106"/>
      <c r="AZ289" s="1334">
        <f>AZ239</f>
        <v>0</v>
      </c>
      <c r="BA289" s="1335"/>
      <c r="BB289" s="1335"/>
      <c r="BC289" s="70"/>
      <c r="BD289" s="1333">
        <f>AV289*(1+AZ289)</f>
        <v>0</v>
      </c>
      <c r="BE289" s="1333"/>
      <c r="BF289" s="1333"/>
      <c r="BG289"/>
      <c r="BH289" s="1266">
        <f>BC490</f>
        <v>0</v>
      </c>
      <c r="BI289" s="1266"/>
      <c r="BJ289" s="1266"/>
      <c r="BK289"/>
      <c r="BL289" s="1266">
        <f t="shared" ref="BL289:BL292" si="6">ROUND(BD289*BH289,-2)</f>
        <v>0</v>
      </c>
      <c r="BM289" s="1266"/>
      <c r="BN289" s="1266"/>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288" t="str">
        <f>H240</f>
        <v>Pompe nebulizzazione</v>
      </c>
      <c r="I290" s="1288"/>
      <c r="J290" s="1288"/>
      <c r="K290" s="1288"/>
      <c r="L290" s="1288"/>
      <c r="M290" s="1288"/>
      <c r="N290" s="1288"/>
      <c r="O290" s="1288"/>
      <c r="P290" s="1288"/>
      <c r="Q290" s="1288"/>
      <c r="R290" s="1288"/>
      <c r="S290" s="1288"/>
      <c r="T290" s="74"/>
      <c r="U290" s="95"/>
      <c r="V290" s="74"/>
      <c r="W290"/>
      <c r="X290" s="1333">
        <f>X240</f>
        <v>0</v>
      </c>
      <c r="Y290" s="1333"/>
      <c r="Z290" s="1333"/>
      <c r="AA290" s="106"/>
      <c r="AB290" s="1334">
        <f>AB240</f>
        <v>0</v>
      </c>
      <c r="AC290" s="1335"/>
      <c r="AD290" s="1335"/>
      <c r="AE290" s="70"/>
      <c r="AF290" s="1333">
        <f>X290*(1+AB290)</f>
        <v>0</v>
      </c>
      <c r="AG290" s="1333"/>
      <c r="AH290" s="1333"/>
      <c r="AI290"/>
      <c r="AJ290" s="1266">
        <f t="shared" ref="AJ290:AJ292" si="7">AE491</f>
        <v>0</v>
      </c>
      <c r="AK290" s="1266"/>
      <c r="AL290" s="1266"/>
      <c r="AM290"/>
      <c r="AN290" s="1266">
        <f t="shared" ref="AN290:AN292" si="8">ROUND(AF290*AJ290,-2)</f>
        <v>0</v>
      </c>
      <c r="AO290" s="1266"/>
      <c r="AP290" s="1266"/>
      <c r="AQ290"/>
      <c r="AR290"/>
      <c r="AS290" s="74"/>
      <c r="AT290" s="74"/>
      <c r="AU290" s="74"/>
      <c r="AV290" s="1333">
        <f>AV240</f>
        <v>0</v>
      </c>
      <c r="AW290" s="1333"/>
      <c r="AX290" s="1333"/>
      <c r="AY290" s="106"/>
      <c r="AZ290" s="1334">
        <f>AZ240</f>
        <v>0</v>
      </c>
      <c r="BA290" s="1335"/>
      <c r="BB290" s="1335"/>
      <c r="BC290" s="70"/>
      <c r="BD290" s="1333">
        <f>AV290*(1+AZ290)</f>
        <v>0</v>
      </c>
      <c r="BE290" s="1333"/>
      <c r="BF290" s="1333"/>
      <c r="BG290"/>
      <c r="BH290" s="1266">
        <f t="shared" ref="BH290:BH292" si="9">BC491</f>
        <v>0</v>
      </c>
      <c r="BI290" s="1266"/>
      <c r="BJ290" s="1266"/>
      <c r="BK290"/>
      <c r="BL290" s="1266">
        <f t="shared" si="6"/>
        <v>0</v>
      </c>
      <c r="BM290" s="1266"/>
      <c r="BN290" s="1266"/>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288" t="str">
        <f>H241</f>
        <v>Ventilatori raffreddato /condensatore</v>
      </c>
      <c r="I291" s="1288"/>
      <c r="J291" s="1288"/>
      <c r="K291" s="1288"/>
      <c r="L291" s="1288"/>
      <c r="M291" s="1288"/>
      <c r="N291" s="1288"/>
      <c r="O291" s="1288"/>
      <c r="P291" s="1288"/>
      <c r="Q291" s="1288"/>
      <c r="R291" s="1288"/>
      <c r="S291" s="1288"/>
      <c r="T291" s="74"/>
      <c r="U291" s="95"/>
      <c r="V291" s="74"/>
      <c r="W291" s="74"/>
      <c r="X291" s="1333">
        <f>X241</f>
        <v>0</v>
      </c>
      <c r="Y291" s="1333"/>
      <c r="Z291" s="1333"/>
      <c r="AA291" s="106"/>
      <c r="AB291" s="1334">
        <f>AB241</f>
        <v>0</v>
      </c>
      <c r="AC291" s="1335"/>
      <c r="AD291" s="1335"/>
      <c r="AE291" s="70"/>
      <c r="AF291" s="1333">
        <f>X291*(1+AB291)</f>
        <v>0</v>
      </c>
      <c r="AG291" s="1333"/>
      <c r="AH291" s="1333"/>
      <c r="AI291"/>
      <c r="AJ291" s="1266">
        <f t="shared" si="7"/>
        <v>0</v>
      </c>
      <c r="AK291" s="1266"/>
      <c r="AL291" s="1266"/>
      <c r="AM291"/>
      <c r="AN291" s="1266">
        <f t="shared" si="8"/>
        <v>0</v>
      </c>
      <c r="AO291" s="1266"/>
      <c r="AP291" s="1266"/>
      <c r="AQ291"/>
      <c r="AR291"/>
      <c r="AS291" s="74"/>
      <c r="AT291" s="74"/>
      <c r="AU291" s="74"/>
      <c r="AV291" s="1333">
        <f>AV241</f>
        <v>0</v>
      </c>
      <c r="AW291" s="1333"/>
      <c r="AX291" s="1333"/>
      <c r="AY291" s="106"/>
      <c r="AZ291" s="1334">
        <f>AZ241</f>
        <v>0</v>
      </c>
      <c r="BA291" s="1335"/>
      <c r="BB291" s="1335"/>
      <c r="BC291" s="70"/>
      <c r="BD291" s="1333">
        <f>AV291*(1+AZ291)</f>
        <v>0</v>
      </c>
      <c r="BE291" s="1333"/>
      <c r="BF291" s="1333"/>
      <c r="BG291"/>
      <c r="BH291" s="1266">
        <f t="shared" si="9"/>
        <v>0</v>
      </c>
      <c r="BI291" s="1266"/>
      <c r="BJ291" s="1266"/>
      <c r="BK291"/>
      <c r="BL291" s="1266">
        <f t="shared" si="6"/>
        <v>0</v>
      </c>
      <c r="BM291" s="1266"/>
      <c r="BN291" s="1266"/>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333">
        <f>X242</f>
        <v>0</v>
      </c>
      <c r="Y292" s="1333"/>
      <c r="Z292" s="1333"/>
      <c r="AA292" s="106"/>
      <c r="AB292" s="1404">
        <f>AB242</f>
        <v>0</v>
      </c>
      <c r="AC292" s="1293"/>
      <c r="AD292" s="1293"/>
      <c r="AE292" s="70"/>
      <c r="AF292" s="1333">
        <f>X292*(1+AB292)</f>
        <v>0</v>
      </c>
      <c r="AG292" s="1333"/>
      <c r="AH292" s="1333"/>
      <c r="AI292"/>
      <c r="AJ292" s="1266">
        <f t="shared" si="7"/>
        <v>0</v>
      </c>
      <c r="AK292" s="1266"/>
      <c r="AL292" s="1266"/>
      <c r="AM292"/>
      <c r="AN292" s="1266">
        <f t="shared" si="8"/>
        <v>0</v>
      </c>
      <c r="AO292" s="1266"/>
      <c r="AP292" s="1266"/>
      <c r="AQ292"/>
      <c r="AR292"/>
      <c r="AS292" s="74"/>
      <c r="AT292" s="74"/>
      <c r="AU292" s="74"/>
      <c r="AV292" s="1333">
        <f>AV242</f>
        <v>0</v>
      </c>
      <c r="AW292" s="1333"/>
      <c r="AX292" s="1333"/>
      <c r="AY292" s="106"/>
      <c r="AZ292" s="1404">
        <f>AZ242</f>
        <v>0</v>
      </c>
      <c r="BA292" s="1293"/>
      <c r="BB292" s="1293"/>
      <c r="BC292" s="70"/>
      <c r="BD292" s="1333">
        <f>AV292*(1+AZ292)</f>
        <v>0</v>
      </c>
      <c r="BE292" s="1333"/>
      <c r="BF292" s="1333"/>
      <c r="BG292"/>
      <c r="BH292" s="1266">
        <f t="shared" si="9"/>
        <v>0</v>
      </c>
      <c r="BI292" s="1266"/>
      <c r="BJ292" s="1266"/>
      <c r="BK292"/>
      <c r="BL292" s="1266">
        <f t="shared" si="6"/>
        <v>0</v>
      </c>
      <c r="BM292" s="1266"/>
      <c r="BN292" s="1266"/>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333">
        <f>X243</f>
        <v>0</v>
      </c>
      <c r="Y293" s="1333"/>
      <c r="Z293" s="1333"/>
      <c r="AA293" s="106"/>
      <c r="AB293" s="1404">
        <f>AB243</f>
        <v>0</v>
      </c>
      <c r="AC293" s="1293"/>
      <c r="AD293" s="1293"/>
      <c r="AE293" s="70"/>
      <c r="AF293" s="1333">
        <f>X293*(1+AB293)</f>
        <v>0</v>
      </c>
      <c r="AG293" s="1333"/>
      <c r="AH293" s="1333"/>
      <c r="AI293"/>
      <c r="AJ293" s="1266">
        <f>AE494</f>
        <v>0</v>
      </c>
      <c r="AK293" s="1266"/>
      <c r="AL293" s="1266"/>
      <c r="AM293"/>
      <c r="AN293" s="1266">
        <f>ROUND(AF293*AJ293,-2)</f>
        <v>0</v>
      </c>
      <c r="AO293" s="1266"/>
      <c r="AP293" s="1266"/>
      <c r="AQ293"/>
      <c r="AR293"/>
      <c r="AS293" s="74"/>
      <c r="AT293" s="74"/>
      <c r="AU293" s="74"/>
      <c r="AV293" s="1333">
        <f>AV243</f>
        <v>0</v>
      </c>
      <c r="AW293" s="1333"/>
      <c r="AX293" s="1333"/>
      <c r="AY293" s="106"/>
      <c r="AZ293" s="1404">
        <f>AZ244</f>
        <v>0</v>
      </c>
      <c r="BA293" s="1293"/>
      <c r="BB293" s="1293"/>
      <c r="BC293" s="70"/>
      <c r="BD293" s="1333">
        <f>AV293*(1+AZ293)</f>
        <v>0</v>
      </c>
      <c r="BE293" s="1333"/>
      <c r="BF293" s="1333"/>
      <c r="BG293"/>
      <c r="BH293" s="1266">
        <f t="shared" ref="BH293" si="10">BC494</f>
        <v>0</v>
      </c>
      <c r="BI293" s="1266"/>
      <c r="BJ293" s="1266"/>
      <c r="BK293"/>
      <c r="BL293" s="1266">
        <f t="shared" ref="BL293" si="11">ROUND(BD293*BH293,-2)</f>
        <v>0</v>
      </c>
      <c r="BM293" s="1266"/>
      <c r="BN293" s="1266"/>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58" t="str">
        <f>X!$C$232</f>
        <v>Totale</v>
      </c>
      <c r="I294" s="1559"/>
      <c r="J294" s="1559"/>
      <c r="K294" s="1559"/>
      <c r="L294" s="1559"/>
      <c r="M294" s="1559"/>
      <c r="N294" s="1559"/>
      <c r="O294" s="1559"/>
      <c r="P294" s="1559"/>
      <c r="Q294" s="1559"/>
      <c r="R294" s="1559"/>
      <c r="S294" s="1559"/>
      <c r="T294" s="115"/>
      <c r="U294" s="151"/>
      <c r="V294" s="115"/>
      <c r="W294" s="115"/>
      <c r="X294" s="1303"/>
      <c r="Y294" s="1303"/>
      <c r="Z294" s="1303"/>
      <c r="AA294" s="137"/>
      <c r="AB294" s="1359"/>
      <c r="AC294" s="1359"/>
      <c r="AD294" s="1359"/>
      <c r="AE294" s="178"/>
      <c r="AF294" s="1333"/>
      <c r="AG294" s="1333"/>
      <c r="AH294" s="1333"/>
      <c r="AI294" s="179"/>
      <c r="AJ294" s="1333"/>
      <c r="AK294" s="1333"/>
      <c r="AL294" s="1333"/>
      <c r="AM294" s="179"/>
      <c r="AN294" s="1266">
        <f>SUM(AN289:AP293)</f>
        <v>0</v>
      </c>
      <c r="AO294" s="1266"/>
      <c r="AP294" s="1266"/>
      <c r="AQ294" s="179"/>
      <c r="AR294" s="179"/>
      <c r="AS294" s="115"/>
      <c r="AT294" s="115"/>
      <c r="AU294" s="115"/>
      <c r="AV294" s="1303"/>
      <c r="AW294" s="1303"/>
      <c r="AX294" s="1303"/>
      <c r="AY294" s="137"/>
      <c r="AZ294" s="1359"/>
      <c r="BA294" s="1359"/>
      <c r="BB294" s="1359"/>
      <c r="BC294" s="178"/>
      <c r="BD294" s="1333">
        <f>SUM(BD289:BF292)</f>
        <v>0</v>
      </c>
      <c r="BE294" s="1333"/>
      <c r="BF294" s="1333"/>
      <c r="BG294" s="179"/>
      <c r="BH294" s="1333"/>
      <c r="BI294" s="1333"/>
      <c r="BJ294" s="1333"/>
      <c r="BK294" s="179"/>
      <c r="BL294" s="1266">
        <f>SUM(BL289:BN293)</f>
        <v>0</v>
      </c>
      <c r="BM294" s="1266"/>
      <c r="BN294" s="1266"/>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58" t="str">
        <f>CONCATENATE(X!$C$232," (",X!$C$386,")")</f>
        <v>Totale (arrotondati)</v>
      </c>
      <c r="I296" s="1559"/>
      <c r="J296" s="1559"/>
      <c r="K296" s="1559"/>
      <c r="L296" s="1559"/>
      <c r="M296" s="1559"/>
      <c r="N296" s="1559"/>
      <c r="O296" s="1559"/>
      <c r="P296" s="1559"/>
      <c r="Q296" s="1559"/>
      <c r="R296" s="1559"/>
      <c r="S296" s="1559"/>
      <c r="T296" s="115"/>
      <c r="U296" s="151"/>
      <c r="V296" s="115"/>
      <c r="W296" s="115"/>
      <c r="X296" s="1303"/>
      <c r="Y296" s="1303"/>
      <c r="Z296" s="1303"/>
      <c r="AA296" s="137"/>
      <c r="AB296" s="1359"/>
      <c r="AC296" s="1359"/>
      <c r="AD296" s="1359"/>
      <c r="AE296" s="178"/>
      <c r="AF296" s="1494"/>
      <c r="AG296" s="1494"/>
      <c r="AH296" s="1494"/>
      <c r="AI296" s="179"/>
      <c r="AJ296" s="1494"/>
      <c r="AK296" s="1494"/>
      <c r="AL296" s="1494"/>
      <c r="AM296" s="179"/>
      <c r="AN296" s="1582">
        <f>IF(AN294&gt;10000,ROUND(AN294,-3),ROUND(AN294,-2))</f>
        <v>0</v>
      </c>
      <c r="AO296" s="1582"/>
      <c r="AP296" s="1582"/>
      <c r="AQ296" s="179"/>
      <c r="AR296" s="179"/>
      <c r="AS296" s="115"/>
      <c r="AT296" s="115"/>
      <c r="AU296" s="115"/>
      <c r="AV296" s="1303"/>
      <c r="AW296" s="1303"/>
      <c r="AX296" s="1303"/>
      <c r="AY296" s="137"/>
      <c r="AZ296" s="1359"/>
      <c r="BA296" s="1359"/>
      <c r="BB296" s="1359"/>
      <c r="BC296" s="178"/>
      <c r="BD296" s="1494"/>
      <c r="BE296" s="1494"/>
      <c r="BF296" s="1494"/>
      <c r="BG296" s="179"/>
      <c r="BH296" s="1494"/>
      <c r="BI296" s="1494"/>
      <c r="BJ296" s="1494"/>
      <c r="BK296" s="179"/>
      <c r="BL296" s="1582">
        <f>IF(BL294&gt;10000,ROUND(BL294,-3),ROUND(BL294,-2))</f>
        <v>0</v>
      </c>
      <c r="BM296" s="1582"/>
      <c r="BN296" s="1582"/>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Consumo elettricità aggregati ausiliari «parte fredda»</v>
      </c>
      <c r="X299" s="1542" t="s">
        <v>127</v>
      </c>
      <c r="Y299" s="1542"/>
      <c r="Z299" s="1542"/>
      <c r="AA299" s="37"/>
      <c r="AB299" s="1556" t="str">
        <f>AB286</f>
        <v>Regolazione</v>
      </c>
      <c r="AC299" s="1542"/>
      <c r="AD299" s="1542"/>
      <c r="AE299" s="37"/>
      <c r="AF299" s="1556" t="str">
        <f>AF286</f>
        <v>Pe (corr.)</v>
      </c>
      <c r="AG299" s="1542"/>
      <c r="AH299" s="1542"/>
      <c r="AI299" s="34"/>
      <c r="AJ299" s="1556" t="str">
        <f>X!$C$163</f>
        <v>Durata</v>
      </c>
      <c r="AK299" s="1542"/>
      <c r="AL299" s="1542"/>
      <c r="AM299" s="34"/>
      <c r="AN299" s="1556" t="s">
        <v>1680</v>
      </c>
      <c r="AO299" s="1542"/>
      <c r="AP299" s="1542"/>
      <c r="AR299" s="106"/>
      <c r="AS299" s="106"/>
      <c r="AT299" s="106"/>
      <c r="AU299" s="106"/>
      <c r="AV299" s="1542" t="s">
        <v>127</v>
      </c>
      <c r="AW299" s="1542"/>
      <c r="AX299" s="1542"/>
      <c r="AY299" s="37"/>
      <c r="AZ299" s="1542" t="str">
        <f>AZ286</f>
        <v>Regolazione</v>
      </c>
      <c r="BA299" s="1542"/>
      <c r="BB299" s="1542"/>
      <c r="BC299" s="37"/>
      <c r="BD299" s="1542" t="str">
        <f>BD286</f>
        <v>Pe (corr.)</v>
      </c>
      <c r="BE299" s="1542"/>
      <c r="BF299" s="1542"/>
      <c r="BG299" s="34"/>
      <c r="BH299" s="1556" t="str">
        <f>X!$C$163</f>
        <v>Durata</v>
      </c>
      <c r="BI299" s="1542"/>
      <c r="BJ299" s="1542"/>
      <c r="BK299" s="34"/>
      <c r="BL299" s="1556" t="s">
        <v>1680</v>
      </c>
      <c r="BM299" s="1542"/>
      <c r="BN299" s="1542"/>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333">
        <f>X252</f>
        <v>0</v>
      </c>
      <c r="Y302" s="1333"/>
      <c r="Z302" s="1333"/>
      <c r="AA302" s="106"/>
      <c r="AB302" s="1404">
        <f>AB252</f>
        <v>0</v>
      </c>
      <c r="AC302" s="1293"/>
      <c r="AD302" s="1293"/>
      <c r="AE302" s="70"/>
      <c r="AF302" s="1333">
        <f>AF252</f>
        <v>0</v>
      </c>
      <c r="AG302" s="1333"/>
      <c r="AH302" s="1333"/>
      <c r="AI302"/>
      <c r="AJ302" s="1266">
        <f>AE475</f>
        <v>0</v>
      </c>
      <c r="AK302" s="1266"/>
      <c r="AL302" s="1266"/>
      <c r="AM302"/>
      <c r="AN302" s="1266">
        <f>ROUND(AF302*AJ302,-2)</f>
        <v>0</v>
      </c>
      <c r="AO302" s="1266"/>
      <c r="AP302" s="1266"/>
      <c r="AQ302"/>
      <c r="AR302"/>
      <c r="AS302" s="74"/>
      <c r="AT302" s="74"/>
      <c r="AU302" s="74"/>
      <c r="AV302" s="1333">
        <f>AV252</f>
        <v>0</v>
      </c>
      <c r="AW302" s="1333"/>
      <c r="AX302" s="1333"/>
      <c r="AY302" s="106"/>
      <c r="AZ302" s="1404">
        <f>AZ252</f>
        <v>0</v>
      </c>
      <c r="BA302" s="1293"/>
      <c r="BB302" s="1293"/>
      <c r="BC302" s="70"/>
      <c r="BD302" s="1333">
        <f>AV302*(1+AZ302)</f>
        <v>0</v>
      </c>
      <c r="BE302" s="1333"/>
      <c r="BF302" s="1333"/>
      <c r="BG302"/>
      <c r="BH302" s="1266">
        <f>BC475</f>
        <v>0</v>
      </c>
      <c r="BI302" s="1266"/>
      <c r="BJ302" s="1266"/>
      <c r="BK302"/>
      <c r="BL302" s="1266">
        <f>ROUND(BD302*BH302,-2)</f>
        <v>0</v>
      </c>
      <c r="BM302" s="1266"/>
      <c r="BN302" s="1266"/>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333">
        <f>X253</f>
        <v>0</v>
      </c>
      <c r="Y303" s="1333"/>
      <c r="Z303" s="1333"/>
      <c r="AA303" s="106"/>
      <c r="AB303" s="1404">
        <f>AB253</f>
        <v>0</v>
      </c>
      <c r="AC303" s="1293"/>
      <c r="AD303" s="1293"/>
      <c r="AE303" s="70"/>
      <c r="AF303" s="1333">
        <f>AF253</f>
        <v>0</v>
      </c>
      <c r="AG303" s="1333"/>
      <c r="AH303" s="1333"/>
      <c r="AI303"/>
      <c r="AJ303" s="1266">
        <f>AJ302</f>
        <v>0</v>
      </c>
      <c r="AK303" s="1266"/>
      <c r="AL303" s="1266"/>
      <c r="AM303"/>
      <c r="AN303" s="1266">
        <f>ROUND(AF303*AJ303,-2)</f>
        <v>0</v>
      </c>
      <c r="AO303" s="1266"/>
      <c r="AP303" s="1266"/>
      <c r="AQ303"/>
      <c r="AR303"/>
      <c r="AS303" s="74"/>
      <c r="AT303" s="74"/>
      <c r="AU303" s="74"/>
      <c r="AV303" s="1333">
        <f>AV253</f>
        <v>0</v>
      </c>
      <c r="AW303" s="1333"/>
      <c r="AX303" s="1333"/>
      <c r="AY303" s="106"/>
      <c r="AZ303" s="1404">
        <f>AZ253</f>
        <v>0</v>
      </c>
      <c r="BA303" s="1293"/>
      <c r="BB303" s="1293"/>
      <c r="BC303" s="70"/>
      <c r="BD303" s="1333">
        <f>AV303*(1+AZ303)</f>
        <v>0</v>
      </c>
      <c r="BE303" s="1333"/>
      <c r="BF303" s="1333"/>
      <c r="BG303"/>
      <c r="BH303" s="1266">
        <f>BH302</f>
        <v>0</v>
      </c>
      <c r="BI303" s="1266"/>
      <c r="BJ303" s="1266"/>
      <c r="BK303"/>
      <c r="BL303" s="1266">
        <f>ROUND(BD303*BH303,-2)</f>
        <v>0</v>
      </c>
      <c r="BM303" s="1266"/>
      <c r="BN303" s="1266"/>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59" t="str">
        <f>H294</f>
        <v>Totale</v>
      </c>
      <c r="I304" s="1559"/>
      <c r="J304" s="1559"/>
      <c r="K304" s="1559"/>
      <c r="L304" s="1559"/>
      <c r="M304" s="1559"/>
      <c r="N304" s="1559"/>
      <c r="O304" s="1559"/>
      <c r="P304" s="1559"/>
      <c r="Q304" s="1559"/>
      <c r="R304" s="1559"/>
      <c r="S304" s="1559"/>
      <c r="T304" s="115"/>
      <c r="U304" s="151"/>
      <c r="V304" s="115"/>
      <c r="W304" s="115"/>
      <c r="X304" s="1303"/>
      <c r="Y304" s="1303"/>
      <c r="Z304" s="1303"/>
      <c r="AA304" s="137"/>
      <c r="AB304" s="1359"/>
      <c r="AC304" s="1359"/>
      <c r="AD304" s="1359"/>
      <c r="AE304" s="178"/>
      <c r="AF304" s="1333">
        <f>SUM(AF302:AH303)</f>
        <v>0</v>
      </c>
      <c r="AG304" s="1333"/>
      <c r="AH304" s="1333"/>
      <c r="AI304" s="179"/>
      <c r="AJ304" s="1266"/>
      <c r="AK304" s="1266"/>
      <c r="AL304" s="1266"/>
      <c r="AM304"/>
      <c r="AN304" s="1266">
        <f>SUM(AN302:AP303)</f>
        <v>0</v>
      </c>
      <c r="AO304" s="1266"/>
      <c r="AP304" s="1266"/>
      <c r="AQ304" s="179"/>
      <c r="AR304" s="179"/>
      <c r="AS304" s="115"/>
      <c r="AT304" s="115"/>
      <c r="AU304" s="115"/>
      <c r="AV304" s="1303"/>
      <c r="AW304" s="1303"/>
      <c r="AX304" s="1303"/>
      <c r="AY304" s="137"/>
      <c r="AZ304" s="1359"/>
      <c r="BA304" s="1359"/>
      <c r="BB304" s="1359"/>
      <c r="BC304" s="178"/>
      <c r="BD304" s="1333">
        <f>SUM(BD302:BF303)</f>
        <v>0</v>
      </c>
      <c r="BE304" s="1333"/>
      <c r="BF304" s="1333"/>
      <c r="BG304" s="179"/>
      <c r="BH304" s="1266"/>
      <c r="BI304" s="1266"/>
      <c r="BJ304" s="1266"/>
      <c r="BK304"/>
      <c r="BL304" s="1266">
        <f>SUM(BL302:BN303)</f>
        <v>0</v>
      </c>
      <c r="BM304" s="1266"/>
      <c r="BN304" s="1266"/>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58" t="str">
        <f>H296</f>
        <v>Totale (arrotondati)</v>
      </c>
      <c r="I306" s="1559"/>
      <c r="J306" s="1559"/>
      <c r="K306" s="1559"/>
      <c r="L306" s="1559"/>
      <c r="M306" s="1559"/>
      <c r="N306" s="1559"/>
      <c r="O306" s="1559"/>
      <c r="P306" s="1559"/>
      <c r="Q306" s="1559"/>
      <c r="R306" s="1559"/>
      <c r="S306" s="1559"/>
      <c r="T306" s="115"/>
      <c r="U306" s="151"/>
      <c r="V306" s="115"/>
      <c r="W306" s="115"/>
      <c r="X306" s="1303"/>
      <c r="Y306" s="1303"/>
      <c r="Z306" s="1303"/>
      <c r="AA306" s="137"/>
      <c r="AB306" s="1359"/>
      <c r="AC306" s="1359"/>
      <c r="AD306" s="1359"/>
      <c r="AE306" s="178"/>
      <c r="AF306" s="1494"/>
      <c r="AG306" s="1494"/>
      <c r="AH306" s="1494"/>
      <c r="AI306" s="179"/>
      <c r="AJ306" s="1494"/>
      <c r="AK306" s="1494"/>
      <c r="AL306" s="1494"/>
      <c r="AM306" s="179"/>
      <c r="AN306" s="1582">
        <f>IF(AN304&gt;10000,ROUND(AN304,-3),ROUND(AN304,-2))</f>
        <v>0</v>
      </c>
      <c r="AO306" s="1582"/>
      <c r="AP306" s="1582"/>
      <c r="AQ306" s="179"/>
      <c r="AR306" s="179"/>
      <c r="AS306" s="115"/>
      <c r="AT306" s="115"/>
      <c r="AU306" s="115"/>
      <c r="AV306" s="1303"/>
      <c r="AW306" s="1303"/>
      <c r="AX306" s="1303"/>
      <c r="AY306" s="137"/>
      <c r="AZ306" s="1359"/>
      <c r="BA306" s="1359"/>
      <c r="BB306" s="1359"/>
      <c r="BC306" s="178"/>
      <c r="BD306" s="1494"/>
      <c r="BE306" s="1494"/>
      <c r="BF306" s="1494"/>
      <c r="BG306" s="179"/>
      <c r="BH306" s="1494"/>
      <c r="BI306" s="1494"/>
      <c r="BJ306" s="1494"/>
      <c r="BK306" s="179"/>
      <c r="BL306" s="1582">
        <f>IF(BL304&gt;10000,ROUND(BL304,-3),ROUND(BL304,-2))</f>
        <v>0</v>
      </c>
      <c r="BM306" s="1582"/>
      <c r="BN306" s="1582"/>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93" t="str">
        <f>X!C291</f>
        <v>in alto</v>
      </c>
      <c r="BF310" s="1493"/>
      <c r="BG310" s="1493"/>
      <c r="BH310" s="1493"/>
      <c r="BI310" s="1493"/>
      <c r="BJ310" s="1493"/>
      <c r="BK310" s="1493"/>
      <c r="BL310" s="1493"/>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Sì</v>
      </c>
      <c r="I323" s="814"/>
      <c r="J323" s="815"/>
    </row>
    <row r="324" spans="8:153" s="201" customFormat="1" ht="19" hidden="1" customHeight="1" outlineLevel="1" x14ac:dyDescent="0.15">
      <c r="H324" s="813" t="str">
        <f>X!$C$188</f>
        <v>No</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Secco</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Ibrido</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55" t="str">
        <f>'1 System specification'!S232</f>
        <v>SEER</v>
      </c>
      <c r="AC337" s="1355"/>
      <c r="AD337" s="1355"/>
      <c r="AF337" s="1355" t="str">
        <f>'1 System specification'!S233</f>
        <v>SEPR</v>
      </c>
      <c r="AG337" s="1355"/>
      <c r="AH337" s="1355"/>
      <c r="AI337"/>
      <c r="AJ337"/>
      <c r="AK337"/>
      <c r="AL337" s="161"/>
      <c r="AM337"/>
      <c r="AN337"/>
      <c r="AO337"/>
      <c r="AP337"/>
      <c r="AQ337"/>
      <c r="AR337"/>
      <c r="AS337"/>
      <c r="AT337" s="70"/>
      <c r="AU337"/>
      <c r="AV337"/>
      <c r="AW337"/>
      <c r="AX337" s="70" t="s">
        <v>317</v>
      </c>
      <c r="AY337" s="70"/>
      <c r="AZ337" s="1355" t="str">
        <f>AB337</f>
        <v>SEER</v>
      </c>
      <c r="BA337" s="1355"/>
      <c r="BB337" s="1355"/>
      <c r="BD337" s="1355" t="str">
        <f>AF337</f>
        <v>SEPR</v>
      </c>
      <c r="BE337" s="1355"/>
      <c r="BF337" s="1355"/>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43" t="str">
        <f>IF(X65="","",X65)</f>
        <v/>
      </c>
      <c r="Y339" s="1543"/>
      <c r="Z339" s="1543"/>
      <c r="AA339" s="475"/>
      <c r="AB339" s="1560" t="str">
        <f>IF(X339&lt;$Q339,$H343,IF(X339&lt;$R340,$K339,""))</f>
        <v/>
      </c>
      <c r="AC339" s="1560"/>
      <c r="AD339" s="1560"/>
      <c r="AE339" s="865"/>
      <c r="AF339" s="1560" t="str">
        <f>IF(AB339&lt;S340,#REF!,"")</f>
        <v/>
      </c>
      <c r="AG339" s="1560"/>
      <c r="AH339" s="1560"/>
      <c r="AI339" s="475"/>
      <c r="AJ339" s="475" t="str">
        <f>IF(AJ65="","",AJ65)</f>
        <v/>
      </c>
      <c r="AK339" s="475"/>
      <c r="AL339" s="475"/>
      <c r="AM339" s="475"/>
      <c r="AN339" s="475"/>
      <c r="AO339" s="475"/>
      <c r="AP339" s="475"/>
      <c r="AQ339" s="475"/>
      <c r="AR339" s="475"/>
      <c r="AS339" s="475"/>
      <c r="AT339" s="475"/>
      <c r="AU339" s="475"/>
      <c r="AV339" s="1565" t="str">
        <f>IF(AV65="","",AV65)</f>
        <v/>
      </c>
      <c r="AW339" s="1565"/>
      <c r="AX339" s="1565"/>
      <c r="AY339" s="475"/>
      <c r="AZ339" s="1560" t="str">
        <f>IF(AV339&lt;$Q339,$H343,IF(AV339&lt;$R340,$K339,""))</f>
        <v/>
      </c>
      <c r="BA339" s="1560"/>
      <c r="BB339" s="1560"/>
      <c r="BC339" s="865"/>
      <c r="BD339" s="1560" t="str">
        <f>IF(AZ339&lt;AQ340,AJ339,"")</f>
        <v/>
      </c>
      <c r="BE339" s="1560"/>
      <c r="BF339" s="1560"/>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43" t="str">
        <f>X339</f>
        <v/>
      </c>
      <c r="Y340" s="1543"/>
      <c r="Z340" s="1543"/>
      <c r="AA340" s="475"/>
      <c r="AB340" s="1560" t="str">
        <f>IF(AB339="",IF(X340&gt;=$R340,$K340,""),"")</f>
        <v>(23 / 18 °C)</v>
      </c>
      <c r="AC340" s="1560"/>
      <c r="AD340" s="1560"/>
      <c r="AE340" s="475"/>
      <c r="AF340" s="1560"/>
      <c r="AG340" s="1560"/>
      <c r="AH340" s="1560"/>
      <c r="AI340" s="475"/>
      <c r="AJ340" s="475" t="str">
        <f>AJ339</f>
        <v/>
      </c>
      <c r="AK340" s="475"/>
      <c r="AL340" s="475"/>
      <c r="AM340" s="475"/>
      <c r="AN340" s="475"/>
      <c r="AO340" s="475"/>
      <c r="AP340" s="475"/>
      <c r="AQ340" s="475"/>
      <c r="AR340" s="475"/>
      <c r="AS340" s="475"/>
      <c r="AT340" s="475"/>
      <c r="AU340" s="475"/>
      <c r="AV340" s="1565" t="str">
        <f>AV339</f>
        <v/>
      </c>
      <c r="AW340" s="1565"/>
      <c r="AX340" s="1565"/>
      <c r="AY340" s="475"/>
      <c r="AZ340" s="1560" t="str">
        <f>IF(AZ339="",IF(AV340&gt;=$R340,$K340,""),"")</f>
        <v>(23 / 18 °C)</v>
      </c>
      <c r="BA340" s="1560"/>
      <c r="BB340" s="1560"/>
      <c r="BC340" s="475"/>
      <c r="BD340" s="1560"/>
      <c r="BE340" s="1560"/>
      <c r="BF340" s="1560"/>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43" t="str">
        <f>X340</f>
        <v/>
      </c>
      <c r="Y341" s="1543"/>
      <c r="Z341" s="1543"/>
      <c r="AA341" s="475"/>
      <c r="AB341" s="1560"/>
      <c r="AC341" s="1560"/>
      <c r="AD341" s="1560"/>
      <c r="AE341" s="475"/>
      <c r="AF341" s="1560" t="str">
        <f>IF(X341&lt;$R341,$H343,IF(X341&lt;$R342,$K341,""))</f>
        <v/>
      </c>
      <c r="AG341" s="1560"/>
      <c r="AH341" s="1560"/>
      <c r="AI341" s="475"/>
      <c r="AJ341" s="475" t="str">
        <f>AJ340</f>
        <v/>
      </c>
      <c r="AK341" s="475"/>
      <c r="AL341" s="475"/>
      <c r="AM341" s="475"/>
      <c r="AN341" s="475"/>
      <c r="AO341" s="475"/>
      <c r="AP341" s="475"/>
      <c r="AQ341" s="475"/>
      <c r="AR341" s="475"/>
      <c r="AS341" s="475"/>
      <c r="AT341" s="475"/>
      <c r="AU341" s="475"/>
      <c r="AV341" s="1565" t="str">
        <f t="shared" ref="AV341:AV342" si="12">AV340</f>
        <v/>
      </c>
      <c r="AW341" s="1565"/>
      <c r="AX341" s="1565"/>
      <c r="AY341" s="475"/>
      <c r="AZ341" s="1560"/>
      <c r="BA341" s="1560"/>
      <c r="BB341" s="1560"/>
      <c r="BC341" s="475"/>
      <c r="BD341" s="1560" t="str">
        <f>IF(AV341&lt;$R341,$H343,IF(AV341&lt;$R342,$K341,""))</f>
        <v/>
      </c>
      <c r="BE341" s="1560"/>
      <c r="BF341" s="1560"/>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43" t="str">
        <f>X341</f>
        <v/>
      </c>
      <c r="Y342" s="1543"/>
      <c r="Z342" s="1543"/>
      <c r="AA342" s="475"/>
      <c r="AB342" s="1560"/>
      <c r="AC342" s="1560"/>
      <c r="AD342" s="1560"/>
      <c r="AE342" s="475"/>
      <c r="AF342" s="1560" t="str">
        <f>IF(X342&gt;=$R342,$K342,"")</f>
        <v>(12 / 7 °C)</v>
      </c>
      <c r="AG342" s="1560"/>
      <c r="AH342" s="1560"/>
      <c r="AI342" s="475"/>
      <c r="AJ342" s="475" t="str">
        <f>AJ341</f>
        <v/>
      </c>
      <c r="AK342" s="475"/>
      <c r="AL342" s="475"/>
      <c r="AM342" s="475"/>
      <c r="AN342" s="475"/>
      <c r="AO342" s="475"/>
      <c r="AP342" s="475"/>
      <c r="AQ342" s="475"/>
      <c r="AR342" s="475"/>
      <c r="AS342" s="475"/>
      <c r="AT342" s="475"/>
      <c r="AU342" s="475"/>
      <c r="AV342" s="1565" t="str">
        <f t="shared" si="12"/>
        <v/>
      </c>
      <c r="AW342" s="1565"/>
      <c r="AX342" s="1565"/>
      <c r="AY342" s="475"/>
      <c r="AZ342" s="1560"/>
      <c r="BA342" s="1560"/>
      <c r="BB342" s="1560"/>
      <c r="BC342" s="475"/>
      <c r="BD342" s="1560" t="str">
        <f>IF(AV342&gt;=$R342,$K342,"")</f>
        <v>(12 / 7 °C)</v>
      </c>
      <c r="BE342" s="1560"/>
      <c r="BF342" s="1560"/>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60" t="str">
        <f>CONCATENATE(AB339,AB340)</f>
        <v>(23 / 18 °C)</v>
      </c>
      <c r="AC344" s="1560"/>
      <c r="AD344" s="1560"/>
      <c r="AE344" s="865"/>
      <c r="AF344" s="1560" t="str">
        <f>CONCATENATE(AF341,AF342)</f>
        <v>(12 / 7 °C)</v>
      </c>
      <c r="AG344" s="1560"/>
      <c r="AH344" s="1560"/>
      <c r="AI344" s="475"/>
      <c r="AJ344" s="475"/>
      <c r="AK344" s="475"/>
      <c r="AL344" s="475"/>
      <c r="AM344" s="475"/>
      <c r="AN344" s="475"/>
      <c r="AO344" s="475"/>
      <c r="AP344" s="475"/>
      <c r="AQ344" s="475"/>
      <c r="AR344" s="475"/>
      <c r="AS344" s="475"/>
      <c r="AT344" s="475"/>
      <c r="AU344" s="475"/>
      <c r="AV344" s="475"/>
      <c r="AW344" s="475"/>
      <c r="AX344" s="475"/>
      <c r="AY344" s="475"/>
      <c r="AZ344" s="1560" t="str">
        <f>CONCATENATE(AZ339,AZ340)</f>
        <v>(23 / 18 °C)</v>
      </c>
      <c r="BA344" s="1560"/>
      <c r="BB344" s="1560"/>
      <c r="BC344" s="865"/>
      <c r="BD344" s="1560" t="str">
        <f>CONCATENATE(BD341,BD342)</f>
        <v>(12 / 7 °C)</v>
      </c>
      <c r="BE344" s="1560"/>
      <c r="BF344" s="1560"/>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83" t="str">
        <f>IF(H346=AB337,AB344,IF(H346=AF337,AF344,""))</f>
        <v/>
      </c>
      <c r="AE346" s="1583"/>
      <c r="AF346" s="1583"/>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83" t="str">
        <f>IF(H346=AZ337,AZ344,IF(H346=BD337,BD344,""))</f>
        <v/>
      </c>
      <c r="BC346" s="1583"/>
      <c r="BD346" s="1583"/>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43">
        <f>IF(X339&lt;$N352,$H351,0)</f>
        <v>0</v>
      </c>
      <c r="Y351" s="1543"/>
      <c r="Z351" s="1543"/>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43">
        <f>IF(AV339&lt;$N352,$H351,0)</f>
        <v>0</v>
      </c>
      <c r="AW351" s="1543"/>
      <c r="AX351" s="1543"/>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43">
        <f>IF(X$339&gt;$O351,IF(X$339&lt;$N353,$H352,0),0)</f>
        <v>0</v>
      </c>
      <c r="Y352" s="1543"/>
      <c r="Z352" s="1543"/>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43">
        <f>IF(AV$339&gt;$O351,IF(AV$339&lt;$N353,$H352,0),0)</f>
        <v>0</v>
      </c>
      <c r="AW352" s="1543"/>
      <c r="AX352" s="1543"/>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43">
        <f t="shared" ref="X353:X356" si="13">IF(X$339&gt;$O352,IF(X$339&lt;N354,$H353,0),0)</f>
        <v>0</v>
      </c>
      <c r="Y353" s="1543"/>
      <c r="Z353" s="1543"/>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43">
        <f t="shared" ref="AV353:AV356" si="14">IF(AV$339&gt;$O352,IF(AV$339&lt;$N354,$H353,0),0)</f>
        <v>0</v>
      </c>
      <c r="AW353" s="1543"/>
      <c r="AX353" s="1543"/>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43">
        <f t="shared" si="13"/>
        <v>0</v>
      </c>
      <c r="Y354" s="1543"/>
      <c r="Z354" s="1543"/>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43">
        <f t="shared" si="14"/>
        <v>0</v>
      </c>
      <c r="AW354" s="1543"/>
      <c r="AX354" s="1543"/>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43">
        <f t="shared" si="13"/>
        <v>0</v>
      </c>
      <c r="Y355" s="1543"/>
      <c r="Z355" s="1543"/>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43">
        <f t="shared" si="14"/>
        <v>0</v>
      </c>
      <c r="AW355" s="1543"/>
      <c r="AX355" s="1543"/>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43">
        <f t="shared" si="13"/>
        <v>0</v>
      </c>
      <c r="Y356" s="1543"/>
      <c r="Z356" s="1543"/>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43">
        <f t="shared" si="14"/>
        <v>0</v>
      </c>
      <c r="AW356" s="1543"/>
      <c r="AX356" s="1543"/>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44">
        <f>SUM(X351:Z356)</f>
        <v>0</v>
      </c>
      <c r="Y358" s="1544"/>
      <c r="Z358" s="1544"/>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44">
        <f>SUM(AV351:AX356)</f>
        <v>0</v>
      </c>
      <c r="AW358" s="1544"/>
      <c r="AX358" s="1544"/>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503" t="str">
        <f>M9</f>
        <v/>
      </c>
      <c r="AF366" s="1504"/>
      <c r="AG366" s="1504"/>
      <c r="AH366" s="1504"/>
      <c r="AI366" s="1504"/>
      <c r="AJ366" s="1504"/>
      <c r="AK366" s="1504"/>
      <c r="AL366" s="1504"/>
      <c r="AM366" s="1504"/>
      <c r="AN366" s="1504"/>
      <c r="AO366" s="1504"/>
      <c r="AP366" s="1504"/>
      <c r="AQ366" s="110"/>
      <c r="AR366" s="110"/>
      <c r="AS366" s="110"/>
      <c r="AT366" s="110"/>
      <c r="AU366" s="110"/>
      <c r="AV366" s="1503" t="str">
        <f>AE366</f>
        <v/>
      </c>
      <c r="AW366" s="1504"/>
      <c r="AX366" s="1504"/>
      <c r="AY366" s="1504"/>
      <c r="AZ366" s="1504"/>
      <c r="BA366" s="1504"/>
      <c r="BB366" s="1504"/>
      <c r="BC366" s="1504"/>
      <c r="BD366" s="1504"/>
      <c r="BE366" s="1504"/>
      <c r="BF366" s="1504"/>
      <c r="BG366" s="1504"/>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503">
        <f>AB109</f>
        <v>0</v>
      </c>
      <c r="AF367" s="1504"/>
      <c r="AG367" s="1504"/>
      <c r="AH367" s="1504"/>
      <c r="AI367" s="1504"/>
      <c r="AJ367" s="1504"/>
      <c r="AK367" s="1504"/>
      <c r="AL367" s="1504"/>
      <c r="AM367" s="1504"/>
      <c r="AN367" s="1504"/>
      <c r="AO367" s="1504"/>
      <c r="AP367" s="1504"/>
      <c r="AQ367" s="110"/>
      <c r="AR367" s="110"/>
      <c r="AS367" s="110"/>
      <c r="AT367" s="110"/>
      <c r="AU367" s="110"/>
      <c r="AV367" s="1503">
        <f>AZ109</f>
        <v>0</v>
      </c>
      <c r="AW367" s="1504"/>
      <c r="AX367" s="1504"/>
      <c r="AY367" s="1504"/>
      <c r="AZ367" s="1504"/>
      <c r="BA367" s="1504"/>
      <c r="BB367" s="1504"/>
      <c r="BC367" s="1504"/>
      <c r="BD367" s="1504"/>
      <c r="BE367" s="1504"/>
      <c r="BF367" s="1504"/>
      <c r="BG367" s="1504"/>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509">
        <f>X358</f>
        <v>0</v>
      </c>
      <c r="AF368" s="1504"/>
      <c r="AG368" s="1504"/>
      <c r="AH368" s="1504"/>
      <c r="AI368" s="1504"/>
      <c r="AJ368" s="1504"/>
      <c r="AK368" s="1504"/>
      <c r="AL368" s="1504"/>
      <c r="AM368" s="1504"/>
      <c r="AN368" s="1504"/>
      <c r="AO368" s="1504"/>
      <c r="AP368" s="1504"/>
      <c r="AQ368" s="110"/>
      <c r="AR368" s="110"/>
      <c r="AS368" s="110"/>
      <c r="AT368" s="110"/>
      <c r="AU368" s="110"/>
      <c r="AV368" s="1509">
        <f>AV358</f>
        <v>0</v>
      </c>
      <c r="AW368" s="1504"/>
      <c r="AX368" s="1504"/>
      <c r="AY368" s="1504"/>
      <c r="AZ368" s="1504"/>
      <c r="BA368" s="1504"/>
      <c r="BB368" s="1504"/>
      <c r="BC368" s="1504"/>
      <c r="BD368" s="1504"/>
      <c r="BE368" s="1504"/>
      <c r="BF368" s="1504"/>
      <c r="BG368" s="1504"/>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503">
        <f>X47</f>
        <v>0</v>
      </c>
      <c r="AF369" s="1504"/>
      <c r="AG369" s="1504"/>
      <c r="AH369" s="1504"/>
      <c r="AI369" s="1504"/>
      <c r="AJ369" s="1504"/>
      <c r="AK369" s="1504"/>
      <c r="AL369" s="1504"/>
      <c r="AM369" s="1504"/>
      <c r="AN369" s="1504"/>
      <c r="AO369" s="1504"/>
      <c r="AP369" s="1504"/>
      <c r="AQ369" s="110"/>
      <c r="AR369" s="110"/>
      <c r="AS369" s="110"/>
      <c r="AT369" s="110"/>
      <c r="AU369" s="110"/>
      <c r="AV369" s="1503">
        <f>AE369</f>
        <v>0</v>
      </c>
      <c r="AW369" s="1504"/>
      <c r="AX369" s="1504"/>
      <c r="AY369" s="1504"/>
      <c r="AZ369" s="1504"/>
      <c r="BA369" s="1504"/>
      <c r="BB369" s="1504"/>
      <c r="BC369" s="1504"/>
      <c r="BD369" s="1504"/>
      <c r="BE369" s="1504"/>
      <c r="BF369" s="1504"/>
      <c r="BG369" s="1504"/>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Refrigeratore-climatizzatore (2'000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Secco</v>
      </c>
      <c r="R375" s="1273" t="s">
        <v>788</v>
      </c>
      <c r="S375" s="1273"/>
      <c r="T375" s="1273"/>
      <c r="U375" s="1273"/>
      <c r="V375" s="1273"/>
      <c r="W375" s="1273"/>
      <c r="X375" s="1273"/>
      <c r="Y375" s="1273"/>
      <c r="Z375" s="1273"/>
      <c r="AA375" s="1273"/>
      <c r="AE375" s="1273" t="s">
        <v>788</v>
      </c>
      <c r="AF375" s="1273"/>
      <c r="AG375" s="1273"/>
      <c r="AH375" s="1273"/>
      <c r="AI375" s="1273"/>
      <c r="AJ375" s="1273"/>
      <c r="AK375" s="1273"/>
      <c r="AL375" s="1273"/>
      <c r="AM375" s="1273"/>
      <c r="AN375" s="1273"/>
      <c r="AV375" s="1273" t="s">
        <v>788</v>
      </c>
      <c r="AW375" s="1273"/>
      <c r="AX375" s="1273"/>
      <c r="AY375" s="1273"/>
      <c r="AZ375" s="1273"/>
      <c r="BA375" s="1273"/>
      <c r="BB375" s="1273"/>
      <c r="BC375" s="1273"/>
      <c r="BD375" s="1273"/>
      <c r="BE375" s="1273"/>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273">
        <v>6</v>
      </c>
      <c r="S376" s="1273"/>
      <c r="T376" s="1273">
        <v>10</v>
      </c>
      <c r="U376" s="1273"/>
      <c r="V376" s="1273">
        <v>14</v>
      </c>
      <c r="W376" s="1273"/>
      <c r="X376" s="1273">
        <v>18</v>
      </c>
      <c r="Y376" s="1273"/>
      <c r="Z376" s="1273">
        <v>22</v>
      </c>
      <c r="AA376" s="1273"/>
      <c r="AE376" s="1273">
        <v>6</v>
      </c>
      <c r="AF376" s="1273"/>
      <c r="AG376" s="1273">
        <v>10</v>
      </c>
      <c r="AH376" s="1273"/>
      <c r="AI376" s="1273">
        <v>14</v>
      </c>
      <c r="AJ376" s="1273"/>
      <c r="AK376" s="1273">
        <v>18</v>
      </c>
      <c r="AL376" s="1273"/>
      <c r="AM376" s="1273">
        <v>22</v>
      </c>
      <c r="AN376" s="1273"/>
      <c r="AO376" s="1274">
        <f>SUM(AE377:AN384)</f>
        <v>0</v>
      </c>
      <c r="AP376" s="1275"/>
      <c r="AV376" s="1273">
        <v>6</v>
      </c>
      <c r="AW376" s="1273"/>
      <c r="AX376" s="1273">
        <v>10</v>
      </c>
      <c r="AY376" s="1273"/>
      <c r="AZ376" s="1273">
        <v>14</v>
      </c>
      <c r="BA376" s="1273"/>
      <c r="BB376" s="1273">
        <v>18</v>
      </c>
      <c r="BC376" s="1273"/>
      <c r="BD376" s="1273">
        <v>22</v>
      </c>
      <c r="BE376" s="1273"/>
      <c r="BF376" s="1274">
        <f>SUM(AV377:BE384)</f>
        <v>0</v>
      </c>
      <c r="BG376" s="1275"/>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Basilea</v>
      </c>
      <c r="R377" s="1276">
        <v>0</v>
      </c>
      <c r="S377" s="1276"/>
      <c r="T377" s="1276">
        <v>0.01</v>
      </c>
      <c r="U377" s="1276"/>
      <c r="V377" s="1276">
        <v>0.06</v>
      </c>
      <c r="W377" s="1276"/>
      <c r="X377" s="1276">
        <v>0.17</v>
      </c>
      <c r="Y377" s="1276"/>
      <c r="Z377" s="1276">
        <v>0.38</v>
      </c>
      <c r="AA377" s="1276"/>
      <c r="AE377" s="1268">
        <f>IF($AE$366=$H$374,IF($AE$367=$H$375,IF($AE$368=AE$376,IF($AE$369=$K377,R377,0),0),0),0)</f>
        <v>0</v>
      </c>
      <c r="AF377" s="1268"/>
      <c r="AG377" s="1268">
        <f t="shared" ref="AG377" si="15">IF($AE$366=$H$374,IF($AE$367=$H$375,IF($AE$368=AG$376,IF($AE$369=$K377,T377,0),0),0),0)</f>
        <v>0</v>
      </c>
      <c r="AH377" s="1268"/>
      <c r="AI377" s="1268">
        <f t="shared" ref="AI377" si="16">IF($AE$366=$H$374,IF($AE$367=$H$375,IF($AE$368=AI$376,IF($AE$369=$K377,V377,0),0),0),0)</f>
        <v>0</v>
      </c>
      <c r="AJ377" s="1268"/>
      <c r="AK377" s="1268">
        <f t="shared" ref="AK377" si="17">IF($AE$366=$H$374,IF($AE$367=$H$375,IF($AE$368=AK$376,IF($AE$369=$K377,X377,0),0),0),0)</f>
        <v>0</v>
      </c>
      <c r="AL377" s="1268"/>
      <c r="AM377" s="1268">
        <f t="shared" ref="AM377" si="18">IF($AE$366=$H$374,IF($AE$367=$H$375,IF($AE$368=AM$376,IF($AE$369=$K377,Z377,0),0),0),0)</f>
        <v>0</v>
      </c>
      <c r="AN377" s="1268"/>
      <c r="AV377" s="1268">
        <f>IF($AV$366=$H$374,IF($AV$367=$H$375,IF($AV$368=AV$376,IF($AV$369=$K377,R377,0),0),0),0)</f>
        <v>0</v>
      </c>
      <c r="AW377" s="1268"/>
      <c r="AX377" s="1268">
        <f t="shared" ref="AX377" si="19">IF($AV$366=$H$374,IF($AV$367=$H$375,IF($AV$368=AX$376,IF($AV$369=$K377,T377,0),0),0),0)</f>
        <v>0</v>
      </c>
      <c r="AY377" s="1268"/>
      <c r="AZ377" s="1268">
        <f t="shared" ref="AZ377" si="20">IF($AV$366=$H$374,IF($AV$367=$H$375,IF($AV$368=AZ$376,IF($AV$369=$K377,V377,0),0),0),0)</f>
        <v>0</v>
      </c>
      <c r="BA377" s="1268"/>
      <c r="BB377" s="1268">
        <f t="shared" ref="BB377" si="21">IF($AV$366=$H$374,IF($AV$367=$H$375,IF($AV$368=BB$376,IF($AV$369=$K377,X377,0),0),0),0)</f>
        <v>0</v>
      </c>
      <c r="BC377" s="1268"/>
      <c r="BD377" s="1268">
        <f t="shared" ref="BD377" si="22">IF($AV$366=$H$374,IF($AV$367=$H$375,IF($AV$368=BD$376,IF($AV$369=$K377,Z377,0),0),0),0)</f>
        <v>0</v>
      </c>
      <c r="BE377" s="1268"/>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Berna</v>
      </c>
      <c r="R378" s="1276">
        <v>0</v>
      </c>
      <c r="S378" s="1276"/>
      <c r="T378" s="1276">
        <v>0.01</v>
      </c>
      <c r="U378" s="1276"/>
      <c r="V378" s="1276">
        <v>0.05</v>
      </c>
      <c r="W378" s="1276"/>
      <c r="X378" s="1276">
        <v>0.18</v>
      </c>
      <c r="Y378" s="1276"/>
      <c r="Z378" s="1276">
        <v>0.39700000000000002</v>
      </c>
      <c r="AA378" s="1276"/>
      <c r="AE378" s="1268">
        <f t="shared" ref="AE378:AE384" si="24">IF($AE$366=$H$374,IF($AE$367=$H$375,IF($AE$368=AE$376,IF($AE$369=$K378,R378,0),0),0),0)</f>
        <v>0</v>
      </c>
      <c r="AF378" s="1268"/>
      <c r="AG378" s="1268">
        <f t="shared" ref="AG378:AG384" si="25">IF($AE$366=$H$374,IF($AE$367=$H$375,IF($AE$368=AG$376,IF($AE$369=$K378,T378,0),0),0),0)</f>
        <v>0</v>
      </c>
      <c r="AH378" s="1268"/>
      <c r="AI378" s="1268">
        <f t="shared" ref="AI378:AI384" si="26">IF($AE$366=$H$374,IF($AE$367=$H$375,IF($AE$368=AI$376,IF($AE$369=$K378,V378,0),0),0),0)</f>
        <v>0</v>
      </c>
      <c r="AJ378" s="1268"/>
      <c r="AK378" s="1268">
        <f t="shared" ref="AK378:AK384" si="27">IF($AE$366=$H$374,IF($AE$367=$H$375,IF($AE$368=AK$376,IF($AE$369=$K378,X378,0),0),0),0)</f>
        <v>0</v>
      </c>
      <c r="AL378" s="1268"/>
      <c r="AM378" s="1268">
        <f t="shared" ref="AM378:AM384" si="28">IF($AE$366=$H$374,IF($AE$367=$H$375,IF($AE$368=AM$376,IF($AE$369=$K378,Z378,0),0),0),0)</f>
        <v>0</v>
      </c>
      <c r="AN378" s="1268"/>
      <c r="AV378" s="1268">
        <f t="shared" ref="AV378:AV384" si="29">IF($AV$366=$H$374,IF($AV$367=$H$375,IF($AV$368=AV$376,IF($AV$369=$K378,R378,0),0),0),0)</f>
        <v>0</v>
      </c>
      <c r="AW378" s="1268"/>
      <c r="AX378" s="1268">
        <f t="shared" ref="AX378:AX384" si="30">IF($AV$366=$H$374,IF($AV$367=$H$375,IF($AV$368=AX$376,IF($AV$369=$K378,T378,0),0),0),0)</f>
        <v>0</v>
      </c>
      <c r="AY378" s="1268"/>
      <c r="AZ378" s="1268">
        <f t="shared" ref="AZ378:AZ384" si="31">IF($AV$366=$H$374,IF($AV$367=$H$375,IF($AV$368=AZ$376,IF($AV$369=$K378,V378,0),0),0),0)</f>
        <v>0</v>
      </c>
      <c r="BA378" s="1268"/>
      <c r="BB378" s="1268">
        <f t="shared" ref="BB378:BB384" si="32">IF($AV$366=$H$374,IF($AV$367=$H$375,IF($AV$368=BB$376,IF($AV$369=$K378,X378,0),0),0),0)</f>
        <v>0</v>
      </c>
      <c r="BC378" s="1268"/>
      <c r="BD378" s="1268">
        <f t="shared" ref="BD378:BD384" si="33">IF($AV$366=$H$374,IF($AV$367=$H$375,IF($AV$368=BD$376,IF($AV$369=$K378,Z378,0),0),0),0)</f>
        <v>0</v>
      </c>
      <c r="BE378" s="1268"/>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276">
        <v>0</v>
      </c>
      <c r="S379" s="1276"/>
      <c r="T379" s="1276">
        <v>0.03</v>
      </c>
      <c r="U379" s="1276"/>
      <c r="V379" s="1276">
        <v>0.1</v>
      </c>
      <c r="W379" s="1276"/>
      <c r="X379" s="1276">
        <v>0.28000000000000003</v>
      </c>
      <c r="Y379" s="1276"/>
      <c r="Z379" s="1276">
        <v>0.52</v>
      </c>
      <c r="AA379" s="1276"/>
      <c r="AE379" s="1268">
        <f t="shared" si="24"/>
        <v>0</v>
      </c>
      <c r="AF379" s="1268"/>
      <c r="AG379" s="1268">
        <f t="shared" si="25"/>
        <v>0</v>
      </c>
      <c r="AH379" s="1268"/>
      <c r="AI379" s="1268">
        <f t="shared" si="26"/>
        <v>0</v>
      </c>
      <c r="AJ379" s="1268"/>
      <c r="AK379" s="1268">
        <f t="shared" si="27"/>
        <v>0</v>
      </c>
      <c r="AL379" s="1268"/>
      <c r="AM379" s="1268">
        <f t="shared" si="28"/>
        <v>0</v>
      </c>
      <c r="AN379" s="1268"/>
      <c r="AV379" s="1268">
        <f t="shared" si="29"/>
        <v>0</v>
      </c>
      <c r="AW379" s="1268"/>
      <c r="AX379" s="1268">
        <f t="shared" si="30"/>
        <v>0</v>
      </c>
      <c r="AY379" s="1268"/>
      <c r="AZ379" s="1268">
        <f t="shared" si="31"/>
        <v>0</v>
      </c>
      <c r="BA379" s="1268"/>
      <c r="BB379" s="1268">
        <f t="shared" si="32"/>
        <v>0</v>
      </c>
      <c r="BC379" s="1268"/>
      <c r="BD379" s="1268">
        <f t="shared" si="33"/>
        <v>0</v>
      </c>
      <c r="BE379" s="1268"/>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Ginevra</v>
      </c>
      <c r="R380" s="1276">
        <v>0</v>
      </c>
      <c r="S380" s="1276"/>
      <c r="T380" s="1276">
        <v>0.02</v>
      </c>
      <c r="U380" s="1276"/>
      <c r="V380" s="1276">
        <v>0.05</v>
      </c>
      <c r="W380" s="1276"/>
      <c r="X380" s="1276">
        <v>0.15</v>
      </c>
      <c r="Y380" s="1276"/>
      <c r="Z380" s="1276">
        <v>0.36</v>
      </c>
      <c r="AA380" s="1276"/>
      <c r="AE380" s="1268">
        <f t="shared" si="24"/>
        <v>0</v>
      </c>
      <c r="AF380" s="1268"/>
      <c r="AG380" s="1268">
        <f t="shared" si="25"/>
        <v>0</v>
      </c>
      <c r="AH380" s="1268"/>
      <c r="AI380" s="1268">
        <f t="shared" si="26"/>
        <v>0</v>
      </c>
      <c r="AJ380" s="1268"/>
      <c r="AK380" s="1268">
        <f t="shared" si="27"/>
        <v>0</v>
      </c>
      <c r="AL380" s="1268"/>
      <c r="AM380" s="1268">
        <f t="shared" si="28"/>
        <v>0</v>
      </c>
      <c r="AN380" s="1268"/>
      <c r="AV380" s="1268">
        <f t="shared" si="29"/>
        <v>0</v>
      </c>
      <c r="AW380" s="1268"/>
      <c r="AX380" s="1268">
        <f t="shared" si="30"/>
        <v>0</v>
      </c>
      <c r="AY380" s="1268"/>
      <c r="AZ380" s="1268">
        <f t="shared" si="31"/>
        <v>0</v>
      </c>
      <c r="BA380" s="1268"/>
      <c r="BB380" s="1268">
        <f t="shared" si="32"/>
        <v>0</v>
      </c>
      <c r="BC380" s="1268"/>
      <c r="BD380" s="1268">
        <f t="shared" si="33"/>
        <v>0</v>
      </c>
      <c r="BE380" s="1268"/>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276">
        <v>2E-3</v>
      </c>
      <c r="S381" s="1276"/>
      <c r="T381" s="1276">
        <v>1.4999999999999999E-2</v>
      </c>
      <c r="U381" s="1276"/>
      <c r="V381" s="1276">
        <v>6.3E-2</v>
      </c>
      <c r="W381" s="1276"/>
      <c r="X381" s="1276">
        <v>0.20399999999999999</v>
      </c>
      <c r="Y381" s="1276"/>
      <c r="Z381" s="1276">
        <v>0.46400000000000002</v>
      </c>
      <c r="AA381" s="1276"/>
      <c r="AE381" s="1268">
        <f t="shared" si="24"/>
        <v>0</v>
      </c>
      <c r="AF381" s="1268"/>
      <c r="AG381" s="1268">
        <f t="shared" si="25"/>
        <v>0</v>
      </c>
      <c r="AH381" s="1268"/>
      <c r="AI381" s="1268">
        <f t="shared" si="26"/>
        <v>0</v>
      </c>
      <c r="AJ381" s="1268"/>
      <c r="AK381" s="1268">
        <f t="shared" si="27"/>
        <v>0</v>
      </c>
      <c r="AL381" s="1268"/>
      <c r="AM381" s="1268">
        <f t="shared" si="28"/>
        <v>0</v>
      </c>
      <c r="AN381" s="1268"/>
      <c r="AV381" s="1268">
        <f t="shared" si="29"/>
        <v>0</v>
      </c>
      <c r="AW381" s="1268"/>
      <c r="AX381" s="1268">
        <f t="shared" si="30"/>
        <v>0</v>
      </c>
      <c r="AY381" s="1268"/>
      <c r="AZ381" s="1268">
        <f t="shared" si="31"/>
        <v>0</v>
      </c>
      <c r="BA381" s="1268"/>
      <c r="BB381" s="1268">
        <f t="shared" si="32"/>
        <v>0</v>
      </c>
      <c r="BC381" s="1268"/>
      <c r="BD381" s="1268">
        <f t="shared" si="33"/>
        <v>0</v>
      </c>
      <c r="BE381" s="1268"/>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276">
        <v>0</v>
      </c>
      <c r="S382" s="1276"/>
      <c r="T382" s="1276">
        <v>0.01</v>
      </c>
      <c r="U382" s="1276"/>
      <c r="V382" s="1276">
        <v>0.03</v>
      </c>
      <c r="W382" s="1276"/>
      <c r="X382" s="1276">
        <v>0.11</v>
      </c>
      <c r="Y382" s="1276"/>
      <c r="Z382" s="1276">
        <v>0.3</v>
      </c>
      <c r="AA382" s="1276"/>
      <c r="AE382" s="1268">
        <f t="shared" si="24"/>
        <v>0</v>
      </c>
      <c r="AF382" s="1268"/>
      <c r="AG382" s="1268">
        <f t="shared" si="25"/>
        <v>0</v>
      </c>
      <c r="AH382" s="1268"/>
      <c r="AI382" s="1268">
        <f t="shared" si="26"/>
        <v>0</v>
      </c>
      <c r="AJ382" s="1268"/>
      <c r="AK382" s="1268">
        <f t="shared" si="27"/>
        <v>0</v>
      </c>
      <c r="AL382" s="1268"/>
      <c r="AM382" s="1268">
        <f t="shared" si="28"/>
        <v>0</v>
      </c>
      <c r="AN382" s="1268"/>
      <c r="AV382" s="1268">
        <f t="shared" si="29"/>
        <v>0</v>
      </c>
      <c r="AW382" s="1268"/>
      <c r="AX382" s="1268">
        <f t="shared" si="30"/>
        <v>0</v>
      </c>
      <c r="AY382" s="1268"/>
      <c r="AZ382" s="1268">
        <f t="shared" si="31"/>
        <v>0</v>
      </c>
      <c r="BA382" s="1268"/>
      <c r="BB382" s="1268">
        <f t="shared" si="32"/>
        <v>0</v>
      </c>
      <c r="BC382" s="1268"/>
      <c r="BD382" s="1268">
        <f t="shared" si="33"/>
        <v>0</v>
      </c>
      <c r="BE382" s="1268"/>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San Gallo</v>
      </c>
      <c r="R383" s="1276">
        <v>0</v>
      </c>
      <c r="S383" s="1276"/>
      <c r="T383" s="1276">
        <v>0.02</v>
      </c>
      <c r="U383" s="1276"/>
      <c r="V383" s="1276">
        <v>0.09</v>
      </c>
      <c r="W383" s="1276"/>
      <c r="X383" s="1276">
        <v>0.24</v>
      </c>
      <c r="Y383" s="1276"/>
      <c r="Z383" s="1276">
        <v>0.48199999999999998</v>
      </c>
      <c r="AA383" s="1276"/>
      <c r="AE383" s="1268">
        <f t="shared" si="24"/>
        <v>0</v>
      </c>
      <c r="AF383" s="1268"/>
      <c r="AG383" s="1268">
        <f t="shared" si="25"/>
        <v>0</v>
      </c>
      <c r="AH383" s="1268"/>
      <c r="AI383" s="1268">
        <f t="shared" si="26"/>
        <v>0</v>
      </c>
      <c r="AJ383" s="1268"/>
      <c r="AK383" s="1268">
        <f t="shared" si="27"/>
        <v>0</v>
      </c>
      <c r="AL383" s="1268"/>
      <c r="AM383" s="1268">
        <f t="shared" si="28"/>
        <v>0</v>
      </c>
      <c r="AN383" s="1268"/>
      <c r="AV383" s="1268">
        <f t="shared" si="29"/>
        <v>0</v>
      </c>
      <c r="AW383" s="1268"/>
      <c r="AX383" s="1268">
        <f t="shared" si="30"/>
        <v>0</v>
      </c>
      <c r="AY383" s="1268"/>
      <c r="AZ383" s="1268">
        <f t="shared" si="31"/>
        <v>0</v>
      </c>
      <c r="BA383" s="1268"/>
      <c r="BB383" s="1268">
        <f t="shared" si="32"/>
        <v>0</v>
      </c>
      <c r="BC383" s="1268"/>
      <c r="BD383" s="1268">
        <f t="shared" si="33"/>
        <v>0</v>
      </c>
      <c r="BE383" s="1268"/>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Zurigo</v>
      </c>
      <c r="R384" s="1276">
        <v>0</v>
      </c>
      <c r="S384" s="1276"/>
      <c r="T384" s="1276">
        <v>0</v>
      </c>
      <c r="U384" s="1276"/>
      <c r="V384" s="1276">
        <v>0.05</v>
      </c>
      <c r="W384" s="1276"/>
      <c r="X384" s="1276">
        <v>0.16</v>
      </c>
      <c r="Y384" s="1276"/>
      <c r="Z384" s="1276">
        <v>0.37</v>
      </c>
      <c r="AA384" s="1276"/>
      <c r="AE384" s="1268">
        <f t="shared" si="24"/>
        <v>0</v>
      </c>
      <c r="AF384" s="1268"/>
      <c r="AG384" s="1268">
        <f t="shared" si="25"/>
        <v>0</v>
      </c>
      <c r="AH384" s="1268"/>
      <c r="AI384" s="1268">
        <f t="shared" si="26"/>
        <v>0</v>
      </c>
      <c r="AJ384" s="1268"/>
      <c r="AK384" s="1268">
        <f t="shared" si="27"/>
        <v>0</v>
      </c>
      <c r="AL384" s="1268"/>
      <c r="AM384" s="1268">
        <f t="shared" si="28"/>
        <v>0</v>
      </c>
      <c r="AN384" s="1268"/>
      <c r="AV384" s="1268">
        <f t="shared" si="29"/>
        <v>0</v>
      </c>
      <c r="AW384" s="1268"/>
      <c r="AX384" s="1268">
        <f t="shared" si="30"/>
        <v>0</v>
      </c>
      <c r="AY384" s="1268"/>
      <c r="AZ384" s="1268">
        <f t="shared" si="31"/>
        <v>0</v>
      </c>
      <c r="BA384" s="1268"/>
      <c r="BB384" s="1268">
        <f t="shared" si="32"/>
        <v>0</v>
      </c>
      <c r="BC384" s="1268"/>
      <c r="BD384" s="1268">
        <f t="shared" si="33"/>
        <v>0</v>
      </c>
      <c r="BE384" s="1268"/>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Ibrido</v>
      </c>
      <c r="R388" s="1269" t="s">
        <v>788</v>
      </c>
      <c r="S388" s="1269"/>
      <c r="T388" s="1269"/>
      <c r="U388" s="1269"/>
      <c r="V388" s="1269"/>
      <c r="W388" s="1269"/>
      <c r="X388" s="1269"/>
      <c r="Y388" s="1269"/>
      <c r="Z388" s="1269"/>
      <c r="AA388" s="1269"/>
      <c r="AE388" s="1269" t="s">
        <v>788</v>
      </c>
      <c r="AF388" s="1269"/>
      <c r="AG388" s="1269"/>
      <c r="AH388" s="1269"/>
      <c r="AI388" s="1269"/>
      <c r="AJ388" s="1269"/>
      <c r="AK388" s="1269"/>
      <c r="AL388" s="1269"/>
      <c r="AM388" s="1269"/>
      <c r="AN388" s="1269"/>
      <c r="AV388" s="1269" t="s">
        <v>788</v>
      </c>
      <c r="AW388" s="1269"/>
      <c r="AX388" s="1269"/>
      <c r="AY388" s="1269"/>
      <c r="AZ388" s="1269"/>
      <c r="BA388" s="1269"/>
      <c r="BB388" s="1269"/>
      <c r="BC388" s="1269"/>
      <c r="BD388" s="1269"/>
      <c r="BE388" s="1269"/>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69">
        <v>6</v>
      </c>
      <c r="S389" s="1269"/>
      <c r="T389" s="1269">
        <v>10</v>
      </c>
      <c r="U389" s="1269"/>
      <c r="V389" s="1269">
        <v>14</v>
      </c>
      <c r="W389" s="1269"/>
      <c r="X389" s="1269">
        <v>18</v>
      </c>
      <c r="Y389" s="1269"/>
      <c r="Z389" s="1269">
        <v>22</v>
      </c>
      <c r="AA389" s="1269"/>
      <c r="AE389" s="1269">
        <v>6</v>
      </c>
      <c r="AF389" s="1269"/>
      <c r="AG389" s="1269">
        <v>10</v>
      </c>
      <c r="AH389" s="1269"/>
      <c r="AI389" s="1269">
        <v>14</v>
      </c>
      <c r="AJ389" s="1269"/>
      <c r="AK389" s="1269">
        <v>18</v>
      </c>
      <c r="AL389" s="1269"/>
      <c r="AM389" s="1269">
        <v>22</v>
      </c>
      <c r="AN389" s="1269"/>
      <c r="AO389" s="1274">
        <f>SUM(AE390:AN397)</f>
        <v>0</v>
      </c>
      <c r="AP389" s="1275"/>
      <c r="AV389" s="1269">
        <v>6</v>
      </c>
      <c r="AW389" s="1269"/>
      <c r="AX389" s="1269">
        <v>10</v>
      </c>
      <c r="AY389" s="1269"/>
      <c r="AZ389" s="1269">
        <v>14</v>
      </c>
      <c r="BA389" s="1269"/>
      <c r="BB389" s="1269">
        <v>18</v>
      </c>
      <c r="BC389" s="1269"/>
      <c r="BD389" s="1269">
        <v>22</v>
      </c>
      <c r="BE389" s="1269"/>
      <c r="BF389" s="1274">
        <f>SUM(AV390:BE397)</f>
        <v>0</v>
      </c>
      <c r="BG389" s="1275"/>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Basilea</v>
      </c>
      <c r="R390" s="1276">
        <v>0</v>
      </c>
      <c r="S390" s="1276"/>
      <c r="T390" s="1276">
        <v>0.01</v>
      </c>
      <c r="U390" s="1276"/>
      <c r="V390" s="1276">
        <v>0.11</v>
      </c>
      <c r="W390" s="1276"/>
      <c r="X390" s="1276">
        <v>0.35</v>
      </c>
      <c r="Y390" s="1276"/>
      <c r="Z390" s="1276">
        <v>0.65</v>
      </c>
      <c r="AA390" s="1276"/>
      <c r="AE390" s="1268">
        <f>IF($AE$366=$H$387,IF($AE$367=$H$388,IF($AE$368=AE$389,IF($AE$369=$K390,R390,0),0),0),0)</f>
        <v>0</v>
      </c>
      <c r="AF390" s="1268"/>
      <c r="AG390" s="1268">
        <f t="shared" ref="AG390" si="34">IF($AE$366=$H$387,IF($AE$367=$H$388,IF($AE$368=AG$389,IF($AE$369=$K390,T390,0),0),0),0)</f>
        <v>0</v>
      </c>
      <c r="AH390" s="1268"/>
      <c r="AI390" s="1268">
        <f t="shared" ref="AI390" si="35">IF($AE$366=$H$387,IF($AE$367=$H$388,IF($AE$368=AI$389,IF($AE$369=$K390,V390,0),0),0),0)</f>
        <v>0</v>
      </c>
      <c r="AJ390" s="1268"/>
      <c r="AK390" s="1268">
        <f t="shared" ref="AK390" si="36">IF($AE$366=$H$387,IF($AE$367=$H$388,IF($AE$368=AK$389,IF($AE$369=$K390,X390,0),0),0),0)</f>
        <v>0</v>
      </c>
      <c r="AL390" s="1268"/>
      <c r="AM390" s="1268">
        <f t="shared" ref="AM390" si="37">IF($AE$366=$H$387,IF($AE$367=$H$388,IF($AE$368=AM$389,IF($AE$369=$K390,Z390,0),0),0),0)</f>
        <v>0</v>
      </c>
      <c r="AN390" s="1268"/>
      <c r="AV390" s="1268">
        <f>IF($AV$366=$H$387,IF($AV$367=$H$388,IF($AV$368=AV$389,IF($AV$369=$K390,R390,0),0),0),0)</f>
        <v>0</v>
      </c>
      <c r="AW390" s="1268"/>
      <c r="AX390" s="1268">
        <f t="shared" ref="AX390" si="38">IF($AV$366=$H$387,IF($AV$367=$H$388,IF($AV$368=AX$389,IF($AV$369=$K390,T390,0),0),0),0)</f>
        <v>0</v>
      </c>
      <c r="AY390" s="1268"/>
      <c r="AZ390" s="1268">
        <f t="shared" ref="AZ390" si="39">IF($AV$366=$H$387,IF($AV$367=$H$388,IF($AV$368=AZ$389,IF($AV$369=$K390,V390,0),0),0),0)</f>
        <v>0</v>
      </c>
      <c r="BA390" s="1268"/>
      <c r="BB390" s="1268">
        <f t="shared" ref="BB390" si="40">IF($AV$366=$H$387,IF($AV$367=$H$388,IF($AV$368=BB$389,IF($AV$369=$K390,X390,0),0),0),0)</f>
        <v>0</v>
      </c>
      <c r="BC390" s="1268"/>
      <c r="BD390" s="1268">
        <f t="shared" ref="BD390" si="41">IF($AV$366=$H$387,IF($AV$367=$H$388,IF($AV$368=BD$389,IF($AV$369=$K390,Z390,0),0),0),0)</f>
        <v>0</v>
      </c>
      <c r="BE390" s="1268"/>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Berna</v>
      </c>
      <c r="R391" s="1276">
        <v>0</v>
      </c>
      <c r="S391" s="1276"/>
      <c r="T391" s="1276">
        <v>0.02</v>
      </c>
      <c r="U391" s="1276"/>
      <c r="V391" s="1276">
        <v>0.13</v>
      </c>
      <c r="W391" s="1276"/>
      <c r="X391" s="1276">
        <v>0.42</v>
      </c>
      <c r="Y391" s="1276"/>
      <c r="Z391" s="1276">
        <v>0.71</v>
      </c>
      <c r="AA391" s="1276"/>
      <c r="AE391" s="1268">
        <f t="shared" ref="AE391:AE397" si="43">IF($AE$366=$H$387,IF($AE$367=$H$388,IF($AE$368=AE$389,IF($AE$369=$K391,R391,0),0),0),0)</f>
        <v>0</v>
      </c>
      <c r="AF391" s="1268"/>
      <c r="AG391" s="1268">
        <f t="shared" ref="AG391:AG397" si="44">IF($AE$366=$H$387,IF($AE$367=$H$388,IF($AE$368=AG$389,IF($AE$369=$K391,T391,0),0),0),0)</f>
        <v>0</v>
      </c>
      <c r="AH391" s="1268"/>
      <c r="AI391" s="1268">
        <f t="shared" ref="AI391:AI397" si="45">IF($AE$366=$H$387,IF($AE$367=$H$388,IF($AE$368=AI$389,IF($AE$369=$K391,V391,0),0),0),0)</f>
        <v>0</v>
      </c>
      <c r="AJ391" s="1268"/>
      <c r="AK391" s="1268">
        <f t="shared" ref="AK391:AK397" si="46">IF($AE$366=$H$387,IF($AE$367=$H$388,IF($AE$368=AK$389,IF($AE$369=$K391,X391,0),0),0),0)</f>
        <v>0</v>
      </c>
      <c r="AL391" s="1268"/>
      <c r="AM391" s="1268">
        <f t="shared" ref="AM391:AM397" si="47">IF($AE$366=$H$387,IF($AE$367=$H$388,IF($AE$368=AM$389,IF($AE$369=$K391,Z391,0),0),0),0)</f>
        <v>0</v>
      </c>
      <c r="AN391" s="1268"/>
      <c r="AV391" s="1268">
        <f t="shared" ref="AV391:AV397" si="48">IF($AV$366=$H$387,IF($AV$367=$H$388,IF($AV$368=AV$389,IF($AV$369=$K391,R391,0),0),0),0)</f>
        <v>0</v>
      </c>
      <c r="AW391" s="1268"/>
      <c r="AX391" s="1268">
        <f t="shared" ref="AX391:AX397" si="49">IF($AV$366=$H$387,IF($AV$367=$H$388,IF($AV$368=AX$389,IF($AV$369=$K391,T391,0),0),0),0)</f>
        <v>0</v>
      </c>
      <c r="AY391" s="1268"/>
      <c r="AZ391" s="1268">
        <f t="shared" ref="AZ391:AZ397" si="50">IF($AV$366=$H$387,IF($AV$367=$H$388,IF($AV$368=AZ$389,IF($AV$369=$K391,V391,0),0),0),0)</f>
        <v>0</v>
      </c>
      <c r="BA391" s="1268"/>
      <c r="BB391" s="1268">
        <f t="shared" ref="BB391:BB397" si="51">IF($AV$366=$H$387,IF($AV$367=$H$388,IF($AV$368=BB$389,IF($AV$369=$K391,X391,0),0),0),0)</f>
        <v>0</v>
      </c>
      <c r="BC391" s="1268"/>
      <c r="BD391" s="1268">
        <f t="shared" ref="BD391:BD397" si="52">IF($AV$366=$H$387,IF($AV$367=$H$388,IF($AV$368=BD$389,IF($AV$369=$K391,Z391,0),0),0),0)</f>
        <v>0</v>
      </c>
      <c r="BE391" s="1268"/>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276">
        <v>0.01</v>
      </c>
      <c r="S392" s="1276"/>
      <c r="T392" s="1276">
        <v>0.05</v>
      </c>
      <c r="U392" s="1276"/>
      <c r="V392" s="1276">
        <v>0.3</v>
      </c>
      <c r="W392" s="1276"/>
      <c r="X392" s="1276">
        <v>0.62</v>
      </c>
      <c r="Y392" s="1276"/>
      <c r="Z392" s="1276">
        <v>0.7</v>
      </c>
      <c r="AA392" s="1276"/>
      <c r="AE392" s="1268">
        <f t="shared" si="43"/>
        <v>0</v>
      </c>
      <c r="AF392" s="1268"/>
      <c r="AG392" s="1268">
        <f t="shared" si="44"/>
        <v>0</v>
      </c>
      <c r="AH392" s="1268"/>
      <c r="AI392" s="1268">
        <f t="shared" si="45"/>
        <v>0</v>
      </c>
      <c r="AJ392" s="1268"/>
      <c r="AK392" s="1268">
        <f t="shared" si="46"/>
        <v>0</v>
      </c>
      <c r="AL392" s="1268"/>
      <c r="AM392" s="1268">
        <f t="shared" si="47"/>
        <v>0</v>
      </c>
      <c r="AN392" s="1268"/>
      <c r="AV392" s="1268">
        <f t="shared" si="48"/>
        <v>0</v>
      </c>
      <c r="AW392" s="1268"/>
      <c r="AX392" s="1268">
        <f t="shared" si="49"/>
        <v>0</v>
      </c>
      <c r="AY392" s="1268"/>
      <c r="AZ392" s="1268">
        <f t="shared" si="50"/>
        <v>0</v>
      </c>
      <c r="BA392" s="1268"/>
      <c r="BB392" s="1268">
        <f t="shared" si="51"/>
        <v>0</v>
      </c>
      <c r="BC392" s="1268"/>
      <c r="BD392" s="1268">
        <f t="shared" si="52"/>
        <v>0</v>
      </c>
      <c r="BE392" s="1268"/>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Ginevra</v>
      </c>
      <c r="R393" s="1276">
        <v>0</v>
      </c>
      <c r="S393" s="1276"/>
      <c r="T393" s="1276">
        <v>0.01</v>
      </c>
      <c r="U393" s="1276"/>
      <c r="V393" s="1276">
        <v>0.11</v>
      </c>
      <c r="W393" s="1276"/>
      <c r="X393" s="1276">
        <v>0.36</v>
      </c>
      <c r="Y393" s="1276"/>
      <c r="Z393" s="1276">
        <v>0.65</v>
      </c>
      <c r="AA393" s="1276"/>
      <c r="AE393" s="1268">
        <f t="shared" si="43"/>
        <v>0</v>
      </c>
      <c r="AF393" s="1268"/>
      <c r="AG393" s="1268">
        <f t="shared" si="44"/>
        <v>0</v>
      </c>
      <c r="AH393" s="1268"/>
      <c r="AI393" s="1268">
        <f t="shared" si="45"/>
        <v>0</v>
      </c>
      <c r="AJ393" s="1268"/>
      <c r="AK393" s="1268">
        <f t="shared" si="46"/>
        <v>0</v>
      </c>
      <c r="AL393" s="1268"/>
      <c r="AM393" s="1268">
        <f t="shared" si="47"/>
        <v>0</v>
      </c>
      <c r="AN393" s="1268"/>
      <c r="AV393" s="1268">
        <f t="shared" si="48"/>
        <v>0</v>
      </c>
      <c r="AW393" s="1268"/>
      <c r="AX393" s="1268">
        <f t="shared" si="49"/>
        <v>0</v>
      </c>
      <c r="AY393" s="1268"/>
      <c r="AZ393" s="1268">
        <f t="shared" si="50"/>
        <v>0</v>
      </c>
      <c r="BA393" s="1268"/>
      <c r="BB393" s="1268">
        <f t="shared" si="51"/>
        <v>0</v>
      </c>
      <c r="BC393" s="1268"/>
      <c r="BD393" s="1268">
        <f t="shared" si="52"/>
        <v>0</v>
      </c>
      <c r="BE393" s="1268"/>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276">
        <v>0</v>
      </c>
      <c r="S394" s="1276"/>
      <c r="T394" s="1276">
        <v>0.02</v>
      </c>
      <c r="U394" s="1276"/>
      <c r="V394" s="1276">
        <v>0.15</v>
      </c>
      <c r="W394" s="1276"/>
      <c r="X394" s="1276">
        <v>0.45</v>
      </c>
      <c r="Y394" s="1276"/>
      <c r="Z394" s="1276">
        <v>0.72</v>
      </c>
      <c r="AA394" s="1276"/>
      <c r="AE394" s="1268">
        <f t="shared" si="43"/>
        <v>0</v>
      </c>
      <c r="AF394" s="1268"/>
      <c r="AG394" s="1268">
        <f t="shared" si="44"/>
        <v>0</v>
      </c>
      <c r="AH394" s="1268"/>
      <c r="AI394" s="1268">
        <f t="shared" si="45"/>
        <v>0</v>
      </c>
      <c r="AJ394" s="1268"/>
      <c r="AK394" s="1268">
        <f t="shared" si="46"/>
        <v>0</v>
      </c>
      <c r="AL394" s="1268"/>
      <c r="AM394" s="1268">
        <f t="shared" si="47"/>
        <v>0</v>
      </c>
      <c r="AN394" s="1268"/>
      <c r="AV394" s="1268">
        <f t="shared" si="48"/>
        <v>0</v>
      </c>
      <c r="AW394" s="1268"/>
      <c r="AX394" s="1268">
        <f t="shared" si="49"/>
        <v>0</v>
      </c>
      <c r="AY394" s="1268"/>
      <c r="AZ394" s="1268">
        <f t="shared" si="50"/>
        <v>0</v>
      </c>
      <c r="BA394" s="1268"/>
      <c r="BB394" s="1268">
        <f t="shared" si="51"/>
        <v>0</v>
      </c>
      <c r="BC394" s="1268"/>
      <c r="BD394" s="1268">
        <f t="shared" si="52"/>
        <v>0</v>
      </c>
      <c r="BE394" s="1268"/>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276">
        <v>0</v>
      </c>
      <c r="S395" s="1276"/>
      <c r="T395" s="1276">
        <v>0.02</v>
      </c>
      <c r="U395" s="1276"/>
      <c r="V395" s="1276">
        <v>7.0000000000000007E-2</v>
      </c>
      <c r="W395" s="1276"/>
      <c r="X395" s="1276">
        <v>0.27</v>
      </c>
      <c r="Y395" s="1276"/>
      <c r="Z395" s="1276">
        <v>0.52</v>
      </c>
      <c r="AA395" s="1276"/>
      <c r="AE395" s="1268">
        <f t="shared" si="43"/>
        <v>0</v>
      </c>
      <c r="AF395" s="1268"/>
      <c r="AG395" s="1268">
        <f t="shared" si="44"/>
        <v>0</v>
      </c>
      <c r="AH395" s="1268"/>
      <c r="AI395" s="1268">
        <f t="shared" si="45"/>
        <v>0</v>
      </c>
      <c r="AJ395" s="1268"/>
      <c r="AK395" s="1268">
        <f t="shared" si="46"/>
        <v>0</v>
      </c>
      <c r="AL395" s="1268"/>
      <c r="AM395" s="1268">
        <f t="shared" si="47"/>
        <v>0</v>
      </c>
      <c r="AN395" s="1268"/>
      <c r="AV395" s="1268">
        <f t="shared" si="48"/>
        <v>0</v>
      </c>
      <c r="AW395" s="1268"/>
      <c r="AX395" s="1268">
        <f t="shared" si="49"/>
        <v>0</v>
      </c>
      <c r="AY395" s="1268"/>
      <c r="AZ395" s="1268">
        <f t="shared" si="50"/>
        <v>0</v>
      </c>
      <c r="BA395" s="1268"/>
      <c r="BB395" s="1268">
        <f t="shared" si="51"/>
        <v>0</v>
      </c>
      <c r="BC395" s="1268"/>
      <c r="BD395" s="1268">
        <f t="shared" si="52"/>
        <v>0</v>
      </c>
      <c r="BE395" s="1268"/>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San Gallo</v>
      </c>
      <c r="R396" s="1276">
        <v>0</v>
      </c>
      <c r="S396" s="1276"/>
      <c r="T396" s="1276">
        <v>0.03</v>
      </c>
      <c r="U396" s="1276"/>
      <c r="V396" s="1276">
        <v>0.14000000000000001</v>
      </c>
      <c r="W396" s="1276"/>
      <c r="X396" s="1276">
        <v>0.43</v>
      </c>
      <c r="Y396" s="1276"/>
      <c r="Z396" s="1276">
        <v>0.69</v>
      </c>
      <c r="AA396" s="1276"/>
      <c r="AE396" s="1268">
        <f t="shared" si="43"/>
        <v>0</v>
      </c>
      <c r="AF396" s="1268"/>
      <c r="AG396" s="1268">
        <f t="shared" si="44"/>
        <v>0</v>
      </c>
      <c r="AH396" s="1268"/>
      <c r="AI396" s="1268">
        <f t="shared" si="45"/>
        <v>0</v>
      </c>
      <c r="AJ396" s="1268"/>
      <c r="AK396" s="1268">
        <f t="shared" si="46"/>
        <v>0</v>
      </c>
      <c r="AL396" s="1268"/>
      <c r="AM396" s="1268">
        <f t="shared" si="47"/>
        <v>0</v>
      </c>
      <c r="AN396" s="1268"/>
      <c r="AV396" s="1268">
        <f t="shared" si="48"/>
        <v>0</v>
      </c>
      <c r="AW396" s="1268"/>
      <c r="AX396" s="1268">
        <f t="shared" si="49"/>
        <v>0</v>
      </c>
      <c r="AY396" s="1268"/>
      <c r="AZ396" s="1268">
        <f t="shared" si="50"/>
        <v>0</v>
      </c>
      <c r="BA396" s="1268"/>
      <c r="BB396" s="1268">
        <f t="shared" si="51"/>
        <v>0</v>
      </c>
      <c r="BC396" s="1268"/>
      <c r="BD396" s="1268">
        <f t="shared" si="52"/>
        <v>0</v>
      </c>
      <c r="BE396" s="1268"/>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Zurigo</v>
      </c>
      <c r="R397" s="1276">
        <v>0</v>
      </c>
      <c r="S397" s="1276"/>
      <c r="T397" s="1276">
        <v>0.01</v>
      </c>
      <c r="U397" s="1276"/>
      <c r="V397" s="1276">
        <v>0.1</v>
      </c>
      <c r="W397" s="1276"/>
      <c r="X397" s="1276">
        <v>0.35</v>
      </c>
      <c r="Y397" s="1276"/>
      <c r="Z397" s="1276">
        <v>0.66</v>
      </c>
      <c r="AA397" s="1276"/>
      <c r="AE397" s="1268">
        <f t="shared" si="43"/>
        <v>0</v>
      </c>
      <c r="AF397" s="1268"/>
      <c r="AG397" s="1268">
        <f t="shared" si="44"/>
        <v>0</v>
      </c>
      <c r="AH397" s="1268"/>
      <c r="AI397" s="1268">
        <f t="shared" si="45"/>
        <v>0</v>
      </c>
      <c r="AJ397" s="1268"/>
      <c r="AK397" s="1268">
        <f t="shared" si="46"/>
        <v>0</v>
      </c>
      <c r="AL397" s="1268"/>
      <c r="AM397" s="1268">
        <f t="shared" si="47"/>
        <v>0</v>
      </c>
      <c r="AN397" s="1268"/>
      <c r="AV397" s="1268">
        <f t="shared" si="48"/>
        <v>0</v>
      </c>
      <c r="AW397" s="1268"/>
      <c r="AX397" s="1268">
        <f t="shared" si="49"/>
        <v>0</v>
      </c>
      <c r="AY397" s="1268"/>
      <c r="AZ397" s="1268">
        <f t="shared" si="50"/>
        <v>0</v>
      </c>
      <c r="BA397" s="1268"/>
      <c r="BB397" s="1268">
        <f t="shared" si="51"/>
        <v>0</v>
      </c>
      <c r="BC397" s="1268"/>
      <c r="BD397" s="1268">
        <f t="shared" si="52"/>
        <v>0</v>
      </c>
      <c r="BE397" s="1268"/>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Impianto con 7'500 ore di funz. a pieno regime all'anno</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Secco</v>
      </c>
      <c r="R405" s="1273" t="s">
        <v>788</v>
      </c>
      <c r="S405" s="1273"/>
      <c r="T405" s="1273"/>
      <c r="U405" s="1273"/>
      <c r="V405" s="1273"/>
      <c r="W405" s="1273"/>
      <c r="X405" s="1273"/>
      <c r="Y405" s="1273"/>
      <c r="Z405" s="1273"/>
      <c r="AA405" s="1273"/>
      <c r="AE405" s="1273" t="s">
        <v>788</v>
      </c>
      <c r="AF405" s="1273"/>
      <c r="AG405" s="1273"/>
      <c r="AH405" s="1273"/>
      <c r="AI405" s="1273"/>
      <c r="AJ405" s="1273"/>
      <c r="AK405" s="1273"/>
      <c r="AL405" s="1273"/>
      <c r="AM405" s="1273"/>
      <c r="AN405" s="1273"/>
      <c r="AV405" s="1273" t="s">
        <v>788</v>
      </c>
      <c r="AW405" s="1273"/>
      <c r="AX405" s="1273"/>
      <c r="AY405" s="1273"/>
      <c r="AZ405" s="1273"/>
      <c r="BA405" s="1273"/>
      <c r="BB405" s="1273"/>
      <c r="BC405" s="1273"/>
      <c r="BD405" s="1273"/>
      <c r="BE405" s="1273"/>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273">
        <v>6</v>
      </c>
      <c r="S406" s="1273"/>
      <c r="T406" s="1273">
        <v>10</v>
      </c>
      <c r="U406" s="1273"/>
      <c r="V406" s="1273">
        <v>14</v>
      </c>
      <c r="W406" s="1273"/>
      <c r="X406" s="1273">
        <v>18</v>
      </c>
      <c r="Y406" s="1273"/>
      <c r="Z406" s="1273">
        <v>22</v>
      </c>
      <c r="AA406" s="1273"/>
      <c r="AE406" s="1273">
        <v>6</v>
      </c>
      <c r="AF406" s="1273"/>
      <c r="AG406" s="1273">
        <v>10</v>
      </c>
      <c r="AH406" s="1273"/>
      <c r="AI406" s="1273">
        <v>14</v>
      </c>
      <c r="AJ406" s="1273"/>
      <c r="AK406" s="1273">
        <v>18</v>
      </c>
      <c r="AL406" s="1273"/>
      <c r="AM406" s="1273">
        <v>22</v>
      </c>
      <c r="AN406" s="1273"/>
      <c r="AO406" s="1274">
        <f>SUM(AE407:AN414)</f>
        <v>0</v>
      </c>
      <c r="AP406" s="1275"/>
      <c r="AV406" s="1273">
        <v>6</v>
      </c>
      <c r="AW406" s="1273"/>
      <c r="AX406" s="1273">
        <v>10</v>
      </c>
      <c r="AY406" s="1273"/>
      <c r="AZ406" s="1273">
        <v>14</v>
      </c>
      <c r="BA406" s="1273"/>
      <c r="BB406" s="1273">
        <v>18</v>
      </c>
      <c r="BC406" s="1273"/>
      <c r="BD406" s="1273">
        <v>22</v>
      </c>
      <c r="BE406" s="1273"/>
      <c r="BF406" s="1274">
        <f>SUM(AV407:BE414)</f>
        <v>0</v>
      </c>
      <c r="BG406" s="1275"/>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Basilea</v>
      </c>
      <c r="R407" s="1277">
        <v>0.18</v>
      </c>
      <c r="S407" s="1277"/>
      <c r="T407" s="1277">
        <v>0.34</v>
      </c>
      <c r="U407" s="1277"/>
      <c r="V407" s="1277">
        <v>0.48</v>
      </c>
      <c r="W407" s="1277"/>
      <c r="X407" s="1277">
        <v>0.65</v>
      </c>
      <c r="Y407" s="1277"/>
      <c r="Z407" s="1277">
        <v>0.79</v>
      </c>
      <c r="AA407" s="1277"/>
      <c r="AE407" s="1268">
        <f>IF($AE$366=$H$404,IF($AE$367=$H$405,IF($AE$368=AE$406,IF($AE$369=$K407,R407,0),0),0),0)</f>
        <v>0</v>
      </c>
      <c r="AF407" s="1268"/>
      <c r="AG407" s="1268">
        <f t="shared" ref="AG407" si="53">IF($AE$366=$H$404,IF($AE$367=$H$405,IF($AE$368=AG$406,IF($AE$369=$K407,T407,0),0),0),0)</f>
        <v>0</v>
      </c>
      <c r="AH407" s="1268"/>
      <c r="AI407" s="1268">
        <f t="shared" ref="AI407" si="54">IF($AE$366=$H$404,IF($AE$367=$H$405,IF($AE$368=AI$406,IF($AE$369=$K407,V407,0),0),0),0)</f>
        <v>0</v>
      </c>
      <c r="AJ407" s="1268"/>
      <c r="AK407" s="1268">
        <f t="shared" ref="AK407" si="55">IF($AE$366=$H$404,IF($AE$367=$H$405,IF($AE$368=AK$406,IF($AE$369=$K407,X407,0),0),0),0)</f>
        <v>0</v>
      </c>
      <c r="AL407" s="1268"/>
      <c r="AM407" s="1268">
        <f t="shared" ref="AM407" si="56">IF($AE$366=$H$404,IF($AE$367=$H$405,IF($AE$368=AM$406,IF($AE$369=$K407,Z407,0),0),0),0)</f>
        <v>0</v>
      </c>
      <c r="AN407" s="1268"/>
      <c r="AV407" s="1268">
        <f>IF($AV$366=$H$404,IF($AV$367=$H$405,IF($AV$368=AV$406,IF($AV$369=$K407,R407,0),0),0),0)</f>
        <v>0</v>
      </c>
      <c r="AW407" s="1268"/>
      <c r="AX407" s="1268">
        <f t="shared" ref="AX407" si="57">IF($AV$366=$H$404,IF($AV$367=$H$405,IF($AV$368=AX$406,IF($AV$369=$K407,T407,0),0),0),0)</f>
        <v>0</v>
      </c>
      <c r="AY407" s="1268"/>
      <c r="AZ407" s="1268">
        <f t="shared" ref="AZ407" si="58">IF($AV$366=$H$404,IF($AV$367=$H$405,IF($AV$368=AZ$406,IF($AV$369=$K407,V407,0),0),0),0)</f>
        <v>0</v>
      </c>
      <c r="BA407" s="1268"/>
      <c r="BB407" s="1268">
        <f t="shared" ref="BB407" si="59">IF($AV$366=$H$404,IF($AV$367=$H$405,IF($AV$368=BB$406,IF($AV$369=$K407,X407,0),0),0),0)</f>
        <v>0</v>
      </c>
      <c r="BC407" s="1268"/>
      <c r="BD407" s="1268">
        <f t="shared" ref="BD407" si="60">IF($AV$366=$H$404,IF($AV$367=$H$405,IF($AV$368=BD$406,IF($AV$369=$K407,Z407,0),0),0),0)</f>
        <v>0</v>
      </c>
      <c r="BE407" s="1268"/>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Berna</v>
      </c>
      <c r="R408" s="1276">
        <v>0.22</v>
      </c>
      <c r="S408" s="1276"/>
      <c r="T408" s="1276">
        <v>0.36</v>
      </c>
      <c r="U408" s="1276"/>
      <c r="V408" s="1276">
        <v>0.5</v>
      </c>
      <c r="W408" s="1276"/>
      <c r="X408" s="1276">
        <v>0.65</v>
      </c>
      <c r="Y408" s="1276"/>
      <c r="Z408" s="1276">
        <v>0.8</v>
      </c>
      <c r="AA408" s="1276"/>
      <c r="AE408" s="1268">
        <f t="shared" ref="AE408:AE414" si="62">IF($AE$366=$H$404,IF($AE$367=$H$405,IF($AE$368=AE$406,IF($AE$369=$K408,R408,0),0),0),0)</f>
        <v>0</v>
      </c>
      <c r="AF408" s="1268"/>
      <c r="AG408" s="1268">
        <f t="shared" ref="AG408:AG414" si="63">IF($AE$366=$H$404,IF($AE$367=$H$405,IF($AE$368=AG$406,IF($AE$369=$K408,T408,0),0),0),0)</f>
        <v>0</v>
      </c>
      <c r="AH408" s="1268"/>
      <c r="AI408" s="1268">
        <f t="shared" ref="AI408:AI414" si="64">IF($AE$366=$H$404,IF($AE$367=$H$405,IF($AE$368=AI$406,IF($AE$369=$K408,V408,0),0),0),0)</f>
        <v>0</v>
      </c>
      <c r="AJ408" s="1268"/>
      <c r="AK408" s="1268">
        <f t="shared" ref="AK408:AK414" si="65">IF($AE$366=$H$404,IF($AE$367=$H$405,IF($AE$368=AK$406,IF($AE$369=$K408,X408,0),0),0),0)</f>
        <v>0</v>
      </c>
      <c r="AL408" s="1268"/>
      <c r="AM408" s="1268">
        <f t="shared" ref="AM408:AM414" si="66">IF($AE$366=$H$404,IF($AE$367=$H$405,IF($AE$368=AM$406,IF($AE$369=$K408,Z408,0),0),0),0)</f>
        <v>0</v>
      </c>
      <c r="AN408" s="1268"/>
      <c r="AV408" s="1268">
        <f t="shared" ref="AV408:AV414" si="67">IF($AV$366=$H$404,IF($AV$367=$H$405,IF($AV$368=AV$406,IF($AV$369=$K408,R408,0),0),0),0)</f>
        <v>0</v>
      </c>
      <c r="AW408" s="1268"/>
      <c r="AX408" s="1268">
        <f t="shared" ref="AX408:AX414" si="68">IF($AV$366=$H$404,IF($AV$367=$H$405,IF($AV$368=AX$406,IF($AV$369=$K408,T408,0),0),0),0)</f>
        <v>0</v>
      </c>
      <c r="AY408" s="1268"/>
      <c r="AZ408" s="1268">
        <f t="shared" ref="AZ408:AZ414" si="69">IF($AV$366=$H$404,IF($AV$367=$H$405,IF($AV$368=AZ$406,IF($AV$369=$K408,V408,0),0),0),0)</f>
        <v>0</v>
      </c>
      <c r="BA408" s="1268"/>
      <c r="BB408" s="1268">
        <f t="shared" ref="BB408:BB414" si="70">IF($AV$366=$H$404,IF($AV$367=$H$405,IF($AV$368=BB$406,IF($AV$369=$K408,X408,0),0),0),0)</f>
        <v>0</v>
      </c>
      <c r="BC408" s="1268"/>
      <c r="BD408" s="1268">
        <f t="shared" ref="BD408:BD414" si="71">IF($AV$366=$H$404,IF($AV$367=$H$405,IF($AV$368=BD$406,IF($AV$369=$K408,Z408,0),0),0),0)</f>
        <v>0</v>
      </c>
      <c r="BE408" s="1268"/>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277">
        <v>0.42</v>
      </c>
      <c r="S409" s="1277"/>
      <c r="T409" s="1277">
        <v>0.57999999999999996</v>
      </c>
      <c r="U409" s="1277"/>
      <c r="V409" s="1278">
        <v>0.75</v>
      </c>
      <c r="W409" s="1278"/>
      <c r="X409" s="1277">
        <v>0.86</v>
      </c>
      <c r="Y409" s="1277"/>
      <c r="Z409" s="1277">
        <v>0.92</v>
      </c>
      <c r="AA409" s="1277"/>
      <c r="AE409" s="1268">
        <f t="shared" si="62"/>
        <v>0</v>
      </c>
      <c r="AF409" s="1268"/>
      <c r="AG409" s="1268">
        <f t="shared" si="63"/>
        <v>0</v>
      </c>
      <c r="AH409" s="1268"/>
      <c r="AI409" s="1268">
        <f t="shared" si="64"/>
        <v>0</v>
      </c>
      <c r="AJ409" s="1268"/>
      <c r="AK409" s="1268">
        <f t="shared" si="65"/>
        <v>0</v>
      </c>
      <c r="AL409" s="1268"/>
      <c r="AM409" s="1268">
        <f t="shared" si="66"/>
        <v>0</v>
      </c>
      <c r="AN409" s="1268"/>
      <c r="AV409" s="1268">
        <f t="shared" si="67"/>
        <v>0</v>
      </c>
      <c r="AW409" s="1268"/>
      <c r="AX409" s="1268">
        <f t="shared" si="68"/>
        <v>0</v>
      </c>
      <c r="AY409" s="1268"/>
      <c r="AZ409" s="1268">
        <f t="shared" si="69"/>
        <v>0</v>
      </c>
      <c r="BA409" s="1268"/>
      <c r="BB409" s="1268">
        <f t="shared" si="70"/>
        <v>0</v>
      </c>
      <c r="BC409" s="1268"/>
      <c r="BD409" s="1268">
        <f t="shared" si="71"/>
        <v>0</v>
      </c>
      <c r="BE409" s="1268"/>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Ginevra</v>
      </c>
      <c r="R410" s="1276">
        <v>0.2</v>
      </c>
      <c r="S410" s="1276"/>
      <c r="T410" s="1276">
        <v>0.35</v>
      </c>
      <c r="U410" s="1276"/>
      <c r="V410" s="1276">
        <v>0.5</v>
      </c>
      <c r="W410" s="1276"/>
      <c r="X410" s="1276">
        <v>0.66</v>
      </c>
      <c r="Y410" s="1276"/>
      <c r="Z410" s="1276">
        <v>0.79</v>
      </c>
      <c r="AA410" s="1276"/>
      <c r="AE410" s="1268">
        <f t="shared" si="62"/>
        <v>0</v>
      </c>
      <c r="AF410" s="1268"/>
      <c r="AG410" s="1268">
        <f t="shared" si="63"/>
        <v>0</v>
      </c>
      <c r="AH410" s="1268"/>
      <c r="AI410" s="1268">
        <f t="shared" si="64"/>
        <v>0</v>
      </c>
      <c r="AJ410" s="1268"/>
      <c r="AK410" s="1268">
        <f t="shared" si="65"/>
        <v>0</v>
      </c>
      <c r="AL410" s="1268"/>
      <c r="AM410" s="1268">
        <f t="shared" si="66"/>
        <v>0</v>
      </c>
      <c r="AN410" s="1268"/>
      <c r="AV410" s="1268">
        <f t="shared" si="67"/>
        <v>0</v>
      </c>
      <c r="AW410" s="1268"/>
      <c r="AX410" s="1268">
        <f t="shared" si="68"/>
        <v>0</v>
      </c>
      <c r="AY410" s="1268"/>
      <c r="AZ410" s="1268">
        <f t="shared" si="69"/>
        <v>0</v>
      </c>
      <c r="BA410" s="1268"/>
      <c r="BB410" s="1268">
        <f t="shared" si="70"/>
        <v>0</v>
      </c>
      <c r="BC410" s="1268"/>
      <c r="BD410" s="1268">
        <f t="shared" si="71"/>
        <v>0</v>
      </c>
      <c r="BE410" s="1268"/>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276">
        <v>0.31</v>
      </c>
      <c r="S411" s="1276"/>
      <c r="T411" s="1276">
        <v>0.48</v>
      </c>
      <c r="U411" s="1276"/>
      <c r="V411" s="1276">
        <v>0.64</v>
      </c>
      <c r="W411" s="1276"/>
      <c r="X411" s="1276">
        <v>0.79</v>
      </c>
      <c r="Y411" s="1276"/>
      <c r="Z411" s="1276">
        <v>0.89</v>
      </c>
      <c r="AA411" s="1276"/>
      <c r="AE411" s="1268">
        <f t="shared" si="62"/>
        <v>0</v>
      </c>
      <c r="AF411" s="1268"/>
      <c r="AG411" s="1268">
        <f t="shared" si="63"/>
        <v>0</v>
      </c>
      <c r="AH411" s="1268"/>
      <c r="AI411" s="1268">
        <f t="shared" si="64"/>
        <v>0</v>
      </c>
      <c r="AJ411" s="1268"/>
      <c r="AK411" s="1268">
        <f t="shared" si="65"/>
        <v>0</v>
      </c>
      <c r="AL411" s="1268"/>
      <c r="AM411" s="1268">
        <f t="shared" si="66"/>
        <v>0</v>
      </c>
      <c r="AN411" s="1268"/>
      <c r="AV411" s="1268">
        <f t="shared" si="67"/>
        <v>0</v>
      </c>
      <c r="AW411" s="1268"/>
      <c r="AX411" s="1268">
        <f t="shared" si="68"/>
        <v>0</v>
      </c>
      <c r="AY411" s="1268"/>
      <c r="AZ411" s="1268">
        <f t="shared" si="69"/>
        <v>0</v>
      </c>
      <c r="BA411" s="1268"/>
      <c r="BB411" s="1268">
        <f t="shared" si="70"/>
        <v>0</v>
      </c>
      <c r="BC411" s="1268"/>
      <c r="BD411" s="1268">
        <f t="shared" si="71"/>
        <v>0</v>
      </c>
      <c r="BE411" s="1268"/>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277">
        <v>0.08</v>
      </c>
      <c r="S412" s="1277"/>
      <c r="T412" s="1277">
        <v>0.14000000000000001</v>
      </c>
      <c r="U412" s="1277"/>
      <c r="V412" s="1277">
        <v>0.4</v>
      </c>
      <c r="W412" s="1277"/>
      <c r="X412" s="1277">
        <v>0.55000000000000004</v>
      </c>
      <c r="Y412" s="1277"/>
      <c r="Z412" s="1277">
        <v>0.7</v>
      </c>
      <c r="AA412" s="1277"/>
      <c r="AE412" s="1268">
        <f t="shared" si="62"/>
        <v>0</v>
      </c>
      <c r="AF412" s="1268"/>
      <c r="AG412" s="1268">
        <f t="shared" si="63"/>
        <v>0</v>
      </c>
      <c r="AH412" s="1268"/>
      <c r="AI412" s="1268">
        <f t="shared" si="64"/>
        <v>0</v>
      </c>
      <c r="AJ412" s="1268"/>
      <c r="AK412" s="1268">
        <f t="shared" si="65"/>
        <v>0</v>
      </c>
      <c r="AL412" s="1268"/>
      <c r="AM412" s="1268">
        <f t="shared" si="66"/>
        <v>0</v>
      </c>
      <c r="AN412" s="1268"/>
      <c r="AV412" s="1268">
        <f t="shared" si="67"/>
        <v>0</v>
      </c>
      <c r="AW412" s="1268"/>
      <c r="AX412" s="1268">
        <f t="shared" si="68"/>
        <v>0</v>
      </c>
      <c r="AY412" s="1268"/>
      <c r="AZ412" s="1268">
        <f t="shared" si="69"/>
        <v>0</v>
      </c>
      <c r="BA412" s="1268"/>
      <c r="BB412" s="1268">
        <f t="shared" si="70"/>
        <v>0</v>
      </c>
      <c r="BC412" s="1268"/>
      <c r="BD412" s="1268">
        <f t="shared" si="71"/>
        <v>0</v>
      </c>
      <c r="BE412" s="1268"/>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San Gallo</v>
      </c>
      <c r="R413" s="1277">
        <v>0.27</v>
      </c>
      <c r="S413" s="1277"/>
      <c r="T413" s="1277">
        <v>0.42</v>
      </c>
      <c r="U413" s="1277"/>
      <c r="V413" s="1277">
        <v>0.56999999999999995</v>
      </c>
      <c r="W413" s="1277"/>
      <c r="X413" s="1277">
        <v>0.74</v>
      </c>
      <c r="Y413" s="1277"/>
      <c r="Z413" s="1277">
        <v>0.85</v>
      </c>
      <c r="AA413" s="1277"/>
      <c r="AE413" s="1268">
        <f t="shared" si="62"/>
        <v>0</v>
      </c>
      <c r="AF413" s="1268"/>
      <c r="AG413" s="1268">
        <f t="shared" si="63"/>
        <v>0</v>
      </c>
      <c r="AH413" s="1268"/>
      <c r="AI413" s="1268">
        <f t="shared" si="64"/>
        <v>0</v>
      </c>
      <c r="AJ413" s="1268"/>
      <c r="AK413" s="1268">
        <f t="shared" si="65"/>
        <v>0</v>
      </c>
      <c r="AL413" s="1268"/>
      <c r="AM413" s="1268">
        <f t="shared" si="66"/>
        <v>0</v>
      </c>
      <c r="AN413" s="1268"/>
      <c r="AV413" s="1268">
        <f t="shared" si="67"/>
        <v>0</v>
      </c>
      <c r="AW413" s="1268"/>
      <c r="AX413" s="1268">
        <f t="shared" si="68"/>
        <v>0</v>
      </c>
      <c r="AY413" s="1268"/>
      <c r="AZ413" s="1268">
        <f t="shared" si="69"/>
        <v>0</v>
      </c>
      <c r="BA413" s="1268"/>
      <c r="BB413" s="1268">
        <f t="shared" si="70"/>
        <v>0</v>
      </c>
      <c r="BC413" s="1268"/>
      <c r="BD413" s="1268">
        <f t="shared" si="71"/>
        <v>0</v>
      </c>
      <c r="BE413" s="1268"/>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Zurigo</v>
      </c>
      <c r="R414" s="1277">
        <v>0.22</v>
      </c>
      <c r="S414" s="1277"/>
      <c r="T414" s="1277">
        <v>0.37</v>
      </c>
      <c r="U414" s="1277"/>
      <c r="V414" s="1277">
        <v>0.54</v>
      </c>
      <c r="W414" s="1277"/>
      <c r="X414" s="1277">
        <v>0.67</v>
      </c>
      <c r="Y414" s="1277"/>
      <c r="Z414" s="1277">
        <v>0.81</v>
      </c>
      <c r="AA414" s="1277"/>
      <c r="AE414" s="1268">
        <f t="shared" si="62"/>
        <v>0</v>
      </c>
      <c r="AF414" s="1268"/>
      <c r="AG414" s="1268">
        <f t="shared" si="63"/>
        <v>0</v>
      </c>
      <c r="AH414" s="1268"/>
      <c r="AI414" s="1268">
        <f t="shared" si="64"/>
        <v>0</v>
      </c>
      <c r="AJ414" s="1268"/>
      <c r="AK414" s="1268">
        <f t="shared" si="65"/>
        <v>0</v>
      </c>
      <c r="AL414" s="1268"/>
      <c r="AM414" s="1268">
        <f t="shared" si="66"/>
        <v>0</v>
      </c>
      <c r="AN414" s="1268"/>
      <c r="AV414" s="1268">
        <f t="shared" si="67"/>
        <v>0</v>
      </c>
      <c r="AW414" s="1268"/>
      <c r="AX414" s="1268">
        <f t="shared" si="68"/>
        <v>0</v>
      </c>
      <c r="AY414" s="1268"/>
      <c r="AZ414" s="1268">
        <f t="shared" si="69"/>
        <v>0</v>
      </c>
      <c r="BA414" s="1268"/>
      <c r="BB414" s="1268">
        <f t="shared" si="70"/>
        <v>0</v>
      </c>
      <c r="BC414" s="1268"/>
      <c r="BD414" s="1268">
        <f t="shared" si="71"/>
        <v>0</v>
      </c>
      <c r="BE414" s="1268"/>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Ibrido</v>
      </c>
      <c r="R417" s="1269" t="s">
        <v>788</v>
      </c>
      <c r="S417" s="1269"/>
      <c r="T417" s="1269"/>
      <c r="U417" s="1269"/>
      <c r="V417" s="1269"/>
      <c r="W417" s="1269"/>
      <c r="X417" s="1269"/>
      <c r="Y417" s="1269"/>
      <c r="Z417" s="1269"/>
      <c r="AA417" s="1269"/>
      <c r="AE417" s="1269" t="s">
        <v>788</v>
      </c>
      <c r="AF417" s="1269"/>
      <c r="AG417" s="1269"/>
      <c r="AH417" s="1269"/>
      <c r="AI417" s="1269"/>
      <c r="AJ417" s="1269"/>
      <c r="AK417" s="1269"/>
      <c r="AL417" s="1269"/>
      <c r="AM417" s="1269"/>
      <c r="AN417" s="1269"/>
      <c r="AV417" s="1269" t="s">
        <v>788</v>
      </c>
      <c r="AW417" s="1269"/>
      <c r="AX417" s="1269"/>
      <c r="AY417" s="1269"/>
      <c r="AZ417" s="1269"/>
      <c r="BA417" s="1269"/>
      <c r="BB417" s="1269"/>
      <c r="BC417" s="1269"/>
      <c r="BD417" s="1269"/>
      <c r="BE417" s="1269"/>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69">
        <v>6</v>
      </c>
      <c r="S418" s="1269"/>
      <c r="T418" s="1269">
        <v>10</v>
      </c>
      <c r="U418" s="1269"/>
      <c r="V418" s="1269">
        <v>14</v>
      </c>
      <c r="W418" s="1269"/>
      <c r="X418" s="1269">
        <v>18</v>
      </c>
      <c r="Y418" s="1269"/>
      <c r="Z418" s="1269">
        <v>22</v>
      </c>
      <c r="AA418" s="1269"/>
      <c r="AE418" s="1269">
        <v>6</v>
      </c>
      <c r="AF418" s="1269"/>
      <c r="AG418" s="1269">
        <v>10</v>
      </c>
      <c r="AH418" s="1269"/>
      <c r="AI418" s="1269">
        <v>14</v>
      </c>
      <c r="AJ418" s="1269"/>
      <c r="AK418" s="1269">
        <v>18</v>
      </c>
      <c r="AL418" s="1269"/>
      <c r="AM418" s="1269">
        <v>22</v>
      </c>
      <c r="AN418" s="1269"/>
      <c r="AO418" s="1274">
        <f>SUM(AE419:AN426)</f>
        <v>0</v>
      </c>
      <c r="AP418" s="1275"/>
      <c r="AV418" s="1269">
        <v>6</v>
      </c>
      <c r="AW418" s="1269"/>
      <c r="AX418" s="1269">
        <v>10</v>
      </c>
      <c r="AY418" s="1269"/>
      <c r="AZ418" s="1269">
        <v>14</v>
      </c>
      <c r="BA418" s="1269"/>
      <c r="BB418" s="1269">
        <v>18</v>
      </c>
      <c r="BC418" s="1269"/>
      <c r="BD418" s="1269">
        <v>22</v>
      </c>
      <c r="BE418" s="1269"/>
      <c r="BF418" s="1274">
        <f>SUM(AV419:BE426)</f>
        <v>0</v>
      </c>
      <c r="BG418" s="1275"/>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Basilea</v>
      </c>
      <c r="R419" s="1277">
        <v>0.19</v>
      </c>
      <c r="S419" s="1277"/>
      <c r="T419" s="1277">
        <v>0.36</v>
      </c>
      <c r="U419" s="1277"/>
      <c r="V419" s="1277">
        <v>0.53</v>
      </c>
      <c r="W419" s="1277"/>
      <c r="X419" s="1277">
        <v>0.72</v>
      </c>
      <c r="Y419" s="1277"/>
      <c r="Z419" s="1277">
        <v>0.88</v>
      </c>
      <c r="AA419" s="1277"/>
      <c r="AE419" s="1268">
        <f>IF($AE$366=$H$416,IF($AE$367=$H$417,IF($AE$368=AE$418,IF($AE$369=$K419,R419,0),0),0),0)</f>
        <v>0</v>
      </c>
      <c r="AF419" s="1268"/>
      <c r="AG419" s="1268">
        <f t="shared" ref="AG419" si="72">IF($AE$366=$H$416,IF($AE$367=$H$417,IF($AE$368=AG$418,IF($AE$369=$K419,T419,0),0),0),0)</f>
        <v>0</v>
      </c>
      <c r="AH419" s="1268"/>
      <c r="AI419" s="1268">
        <f t="shared" ref="AI419" si="73">IF($AE$366=$H$416,IF($AE$367=$H$417,IF($AE$368=AI$418,IF($AE$369=$K419,V419,0),0),0),0)</f>
        <v>0</v>
      </c>
      <c r="AJ419" s="1268"/>
      <c r="AK419" s="1268">
        <f t="shared" ref="AK419" si="74">IF($AE$366=$H$416,IF($AE$367=$H$417,IF($AE$368=AK$418,IF($AE$369=$K419,X419,0),0),0),0)</f>
        <v>0</v>
      </c>
      <c r="AL419" s="1268"/>
      <c r="AM419" s="1268">
        <f t="shared" ref="AM419" si="75">IF($AE$366=$H$416,IF($AE$367=$H$417,IF($AE$368=AM$418,IF($AE$369=$K419,Z419,0),0),0),0)</f>
        <v>0</v>
      </c>
      <c r="AN419" s="1268"/>
      <c r="AV419" s="1268">
        <f>IF($AV$366=$H$416,IF($AV$367=$H$417,IF($AV$368=AV$418,IF($AV$369=$K419,R419,0),0),0),0)</f>
        <v>0</v>
      </c>
      <c r="AW419" s="1268"/>
      <c r="AX419" s="1268">
        <f t="shared" ref="AX419" si="76">IF($AV$366=$H$416,IF($AV$367=$H$417,IF($AV$368=AX$418,IF($AV$369=$K419,T419,0),0),0),0)</f>
        <v>0</v>
      </c>
      <c r="AY419" s="1268"/>
      <c r="AZ419" s="1268">
        <f t="shared" ref="AZ419" si="77">IF($AV$366=$H$416,IF($AV$367=$H$417,IF($AV$368=AZ$418,IF($AV$369=$K419,V419,0),0),0),0)</f>
        <v>0</v>
      </c>
      <c r="BA419" s="1268"/>
      <c r="BB419" s="1268">
        <f t="shared" ref="BB419" si="78">IF($AV$366=$H$416,IF($AV$367=$H$417,IF($AV$368=BB$418,IF($AV$369=$K419,X419,0),0),0),0)</f>
        <v>0</v>
      </c>
      <c r="BC419" s="1268"/>
      <c r="BD419" s="1268">
        <f t="shared" ref="BD419" si="79">IF($AV$366=$H$416,IF($AV$367=$H$417,IF($AV$368=BD$418,IF($AV$369=$K419,Z419,0),0),0),0)</f>
        <v>0</v>
      </c>
      <c r="BE419" s="1268"/>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Berna</v>
      </c>
      <c r="R420" s="1276">
        <v>0.23</v>
      </c>
      <c r="S420" s="1276"/>
      <c r="T420" s="1276">
        <v>0.39</v>
      </c>
      <c r="U420" s="1276"/>
      <c r="V420" s="1276">
        <v>0.56000000000000005</v>
      </c>
      <c r="W420" s="1276"/>
      <c r="X420" s="1276">
        <v>0.74</v>
      </c>
      <c r="Y420" s="1276"/>
      <c r="Z420" s="1276">
        <v>0.9</v>
      </c>
      <c r="AA420" s="1276"/>
      <c r="AE420" s="1268">
        <f t="shared" ref="AE420:AE425" si="81">IF($AE$366=$H$416,IF($AE$367=$H$417,IF($AE$368=AE$418,IF($AE$369=$K420,R420,0),0),0),0)</f>
        <v>0</v>
      </c>
      <c r="AF420" s="1268"/>
      <c r="AG420" s="1268">
        <f t="shared" ref="AG420:AG426" si="82">IF($AE$366=$H$416,IF($AE$367=$H$417,IF($AE$368=AG$418,IF($AE$369=$K420,T420,0),0),0),0)</f>
        <v>0</v>
      </c>
      <c r="AH420" s="1268"/>
      <c r="AI420" s="1268">
        <f t="shared" ref="AI420:AI426" si="83">IF($AE$366=$H$416,IF($AE$367=$H$417,IF($AE$368=AI$418,IF($AE$369=$K420,V420,0),0),0),0)</f>
        <v>0</v>
      </c>
      <c r="AJ420" s="1268"/>
      <c r="AK420" s="1268">
        <f t="shared" ref="AK420:AK426" si="84">IF($AE$366=$H$416,IF($AE$367=$H$417,IF($AE$368=AK$418,IF($AE$369=$K420,X420,0),0),0),0)</f>
        <v>0</v>
      </c>
      <c r="AL420" s="1268"/>
      <c r="AM420" s="1268">
        <f t="shared" ref="AM420:AM426" si="85">IF($AE$366=$H$416,IF($AE$367=$H$417,IF($AE$368=AM$418,IF($AE$369=$K420,Z420,0),0),0),0)</f>
        <v>0</v>
      </c>
      <c r="AN420" s="1268"/>
      <c r="AV420" s="1268">
        <f t="shared" ref="AV420:AV426" si="86">IF($AV$366=$H$416,IF($AV$367=$H$417,IF($AV$368=AV$418,IF($AV$369=$K420,R420,0),0),0),0)</f>
        <v>0</v>
      </c>
      <c r="AW420" s="1268"/>
      <c r="AX420" s="1268">
        <f t="shared" ref="AX420:AX426" si="87">IF($AV$366=$H$416,IF($AV$367=$H$417,IF($AV$368=AX$418,IF($AV$369=$K420,T420,0),0),0),0)</f>
        <v>0</v>
      </c>
      <c r="AY420" s="1268"/>
      <c r="AZ420" s="1268">
        <f t="shared" ref="AZ420:AZ426" si="88">IF($AV$366=$H$416,IF($AV$367=$H$417,IF($AV$368=AZ$418,IF($AV$369=$K420,V420,0),0),0),0)</f>
        <v>0</v>
      </c>
      <c r="BA420" s="1268"/>
      <c r="BB420" s="1268">
        <f t="shared" ref="BB420:BB426" si="89">IF($AV$366=$H$416,IF($AV$367=$H$417,IF($AV$368=BB$418,IF($AV$369=$K420,X420,0),0),0),0)</f>
        <v>0</v>
      </c>
      <c r="BC420" s="1268"/>
      <c r="BD420" s="1268">
        <f t="shared" ref="BD420:BD426" si="90">IF($AV$366=$H$416,IF($AV$367=$H$417,IF($AV$368=BD$418,IF($AV$369=$K420,Z420,0),0),0),0)</f>
        <v>0</v>
      </c>
      <c r="BE420" s="1268"/>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277">
        <v>0.45</v>
      </c>
      <c r="S421" s="1277"/>
      <c r="T421" s="1277">
        <v>0.62</v>
      </c>
      <c r="U421" s="1277"/>
      <c r="V421" s="1278">
        <v>0.8</v>
      </c>
      <c r="W421" s="1278"/>
      <c r="X421" s="1277">
        <v>0.9</v>
      </c>
      <c r="Y421" s="1277"/>
      <c r="Z421" s="1277">
        <v>0.95</v>
      </c>
      <c r="AA421" s="1277"/>
      <c r="AE421" s="1268">
        <f t="shared" si="81"/>
        <v>0</v>
      </c>
      <c r="AF421" s="1268"/>
      <c r="AG421" s="1268">
        <f t="shared" si="82"/>
        <v>0</v>
      </c>
      <c r="AH421" s="1268"/>
      <c r="AI421" s="1268">
        <f t="shared" si="83"/>
        <v>0</v>
      </c>
      <c r="AJ421" s="1268"/>
      <c r="AK421" s="1268">
        <f t="shared" si="84"/>
        <v>0</v>
      </c>
      <c r="AL421" s="1268"/>
      <c r="AM421" s="1268">
        <f t="shared" si="85"/>
        <v>0</v>
      </c>
      <c r="AN421" s="1268"/>
      <c r="AV421" s="1268">
        <f t="shared" si="86"/>
        <v>0</v>
      </c>
      <c r="AW421" s="1268"/>
      <c r="AX421" s="1268">
        <f t="shared" si="87"/>
        <v>0</v>
      </c>
      <c r="AY421" s="1268"/>
      <c r="AZ421" s="1268">
        <f t="shared" si="88"/>
        <v>0</v>
      </c>
      <c r="BA421" s="1268"/>
      <c r="BB421" s="1268">
        <f t="shared" si="89"/>
        <v>0</v>
      </c>
      <c r="BC421" s="1268"/>
      <c r="BD421" s="1268">
        <f t="shared" si="90"/>
        <v>0</v>
      </c>
      <c r="BE421" s="1268"/>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Ginevra</v>
      </c>
      <c r="R422" s="1276">
        <v>0.21</v>
      </c>
      <c r="S422" s="1276"/>
      <c r="T422" s="1276">
        <v>0.36</v>
      </c>
      <c r="U422" s="1276"/>
      <c r="V422" s="1276">
        <v>0.53</v>
      </c>
      <c r="W422" s="1276"/>
      <c r="X422" s="1276">
        <v>0.72</v>
      </c>
      <c r="Y422" s="1276"/>
      <c r="Z422" s="1276">
        <v>0.88</v>
      </c>
      <c r="AA422" s="1276"/>
      <c r="AE422" s="1268">
        <f t="shared" si="81"/>
        <v>0</v>
      </c>
      <c r="AF422" s="1268"/>
      <c r="AG422" s="1268">
        <f t="shared" si="82"/>
        <v>0</v>
      </c>
      <c r="AH422" s="1268"/>
      <c r="AI422" s="1268">
        <f t="shared" si="83"/>
        <v>0</v>
      </c>
      <c r="AJ422" s="1268"/>
      <c r="AK422" s="1268">
        <f t="shared" si="84"/>
        <v>0</v>
      </c>
      <c r="AL422" s="1268"/>
      <c r="AM422" s="1268">
        <f t="shared" si="85"/>
        <v>0</v>
      </c>
      <c r="AN422" s="1268"/>
      <c r="AV422" s="1268">
        <f t="shared" si="86"/>
        <v>0</v>
      </c>
      <c r="AW422" s="1268"/>
      <c r="AX422" s="1268">
        <f t="shared" si="87"/>
        <v>0</v>
      </c>
      <c r="AY422" s="1268"/>
      <c r="AZ422" s="1268">
        <f t="shared" si="88"/>
        <v>0</v>
      </c>
      <c r="BA422" s="1268"/>
      <c r="BB422" s="1268">
        <f t="shared" si="89"/>
        <v>0</v>
      </c>
      <c r="BC422" s="1268"/>
      <c r="BD422" s="1268">
        <f t="shared" si="90"/>
        <v>0</v>
      </c>
      <c r="BE422" s="1268"/>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276">
        <v>0.31</v>
      </c>
      <c r="S423" s="1276"/>
      <c r="T423" s="1276">
        <v>0.5</v>
      </c>
      <c r="U423" s="1276"/>
      <c r="V423" s="1276">
        <v>0.67</v>
      </c>
      <c r="W423" s="1276"/>
      <c r="X423" s="1276">
        <v>0.84</v>
      </c>
      <c r="Y423" s="1276"/>
      <c r="Z423" s="1276">
        <v>0.94</v>
      </c>
      <c r="AA423" s="1276"/>
      <c r="AE423" s="1268">
        <f t="shared" si="81"/>
        <v>0</v>
      </c>
      <c r="AF423" s="1268"/>
      <c r="AG423" s="1268">
        <f t="shared" si="82"/>
        <v>0</v>
      </c>
      <c r="AH423" s="1268"/>
      <c r="AI423" s="1268">
        <f t="shared" si="83"/>
        <v>0</v>
      </c>
      <c r="AJ423" s="1268"/>
      <c r="AK423" s="1268">
        <f t="shared" si="84"/>
        <v>0</v>
      </c>
      <c r="AL423" s="1268"/>
      <c r="AM423" s="1268">
        <f t="shared" si="85"/>
        <v>0</v>
      </c>
      <c r="AN423" s="1268"/>
      <c r="AV423" s="1268">
        <f t="shared" si="86"/>
        <v>0</v>
      </c>
      <c r="AW423" s="1268"/>
      <c r="AX423" s="1268">
        <f t="shared" si="87"/>
        <v>0</v>
      </c>
      <c r="AY423" s="1268"/>
      <c r="AZ423" s="1268">
        <f t="shared" si="88"/>
        <v>0</v>
      </c>
      <c r="BA423" s="1268"/>
      <c r="BB423" s="1268">
        <f t="shared" si="89"/>
        <v>0</v>
      </c>
      <c r="BC423" s="1268"/>
      <c r="BD423" s="1268">
        <f t="shared" si="90"/>
        <v>0</v>
      </c>
      <c r="BE423" s="1268"/>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277">
        <v>0.12</v>
      </c>
      <c r="S424" s="1277"/>
      <c r="T424" s="1277">
        <v>0.3</v>
      </c>
      <c r="U424" s="1277"/>
      <c r="V424" s="1277">
        <v>0.46</v>
      </c>
      <c r="W424" s="1277"/>
      <c r="X424" s="1277">
        <v>0.63</v>
      </c>
      <c r="Y424" s="1277"/>
      <c r="Z424" s="1277">
        <v>0.81</v>
      </c>
      <c r="AA424" s="1277"/>
      <c r="AE424" s="1268">
        <f t="shared" si="81"/>
        <v>0</v>
      </c>
      <c r="AF424" s="1268"/>
      <c r="AG424" s="1268">
        <f t="shared" si="82"/>
        <v>0</v>
      </c>
      <c r="AH424" s="1268"/>
      <c r="AI424" s="1268">
        <f t="shared" si="83"/>
        <v>0</v>
      </c>
      <c r="AJ424" s="1268"/>
      <c r="AK424" s="1268">
        <f t="shared" si="84"/>
        <v>0</v>
      </c>
      <c r="AL424" s="1268"/>
      <c r="AM424" s="1268">
        <f t="shared" si="85"/>
        <v>0</v>
      </c>
      <c r="AN424" s="1268"/>
      <c r="AV424" s="1268">
        <f t="shared" si="86"/>
        <v>0</v>
      </c>
      <c r="AW424" s="1268"/>
      <c r="AX424" s="1268">
        <f t="shared" si="87"/>
        <v>0</v>
      </c>
      <c r="AY424" s="1268"/>
      <c r="AZ424" s="1268">
        <f t="shared" si="88"/>
        <v>0</v>
      </c>
      <c r="BA424" s="1268"/>
      <c r="BB424" s="1268">
        <f t="shared" si="89"/>
        <v>0</v>
      </c>
      <c r="BC424" s="1268"/>
      <c r="BD424" s="1268">
        <f t="shared" si="90"/>
        <v>0</v>
      </c>
      <c r="BE424" s="1268"/>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San Gallo</v>
      </c>
      <c r="R425" s="1277">
        <v>0.27</v>
      </c>
      <c r="S425" s="1277"/>
      <c r="T425" s="1277">
        <v>0.45</v>
      </c>
      <c r="U425" s="1277"/>
      <c r="V425" s="1277">
        <v>0.62</v>
      </c>
      <c r="W425" s="1277"/>
      <c r="X425" s="1277">
        <v>0.8</v>
      </c>
      <c r="Y425" s="1277"/>
      <c r="Z425" s="1277">
        <v>0.93</v>
      </c>
      <c r="AA425" s="1277"/>
      <c r="AE425" s="1268">
        <f t="shared" si="81"/>
        <v>0</v>
      </c>
      <c r="AF425" s="1268"/>
      <c r="AG425" s="1268">
        <f t="shared" si="82"/>
        <v>0</v>
      </c>
      <c r="AH425" s="1268"/>
      <c r="AI425" s="1268">
        <f t="shared" si="83"/>
        <v>0</v>
      </c>
      <c r="AJ425" s="1268"/>
      <c r="AK425" s="1268">
        <f t="shared" si="84"/>
        <v>0</v>
      </c>
      <c r="AL425" s="1268"/>
      <c r="AM425" s="1268">
        <f t="shared" si="85"/>
        <v>0</v>
      </c>
      <c r="AN425" s="1268"/>
      <c r="AV425" s="1268">
        <f t="shared" si="86"/>
        <v>0</v>
      </c>
      <c r="AW425" s="1268"/>
      <c r="AX425" s="1268">
        <f t="shared" si="87"/>
        <v>0</v>
      </c>
      <c r="AY425" s="1268"/>
      <c r="AZ425" s="1268">
        <f t="shared" si="88"/>
        <v>0</v>
      </c>
      <c r="BA425" s="1268"/>
      <c r="BB425" s="1268">
        <f t="shared" si="89"/>
        <v>0</v>
      </c>
      <c r="BC425" s="1268"/>
      <c r="BD425" s="1268">
        <f t="shared" si="90"/>
        <v>0</v>
      </c>
      <c r="BE425" s="1268"/>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Zurigo</v>
      </c>
      <c r="R426" s="1277">
        <v>0.22</v>
      </c>
      <c r="S426" s="1277"/>
      <c r="T426" s="1277">
        <v>0.39</v>
      </c>
      <c r="U426" s="1277"/>
      <c r="V426" s="1277">
        <v>0.55000000000000004</v>
      </c>
      <c r="W426" s="1277"/>
      <c r="X426" s="1277">
        <v>0.74</v>
      </c>
      <c r="Y426" s="1277"/>
      <c r="Z426" s="1277">
        <v>0.9</v>
      </c>
      <c r="AA426" s="1277"/>
      <c r="AE426" s="1268">
        <f>IF($AE$366=$H$416,IF($AE$367=$H$417,IF($AE$368=AE$418,IF($AE$369=$K426,R426,0),0),0),0)</f>
        <v>0</v>
      </c>
      <c r="AF426" s="1268"/>
      <c r="AG426" s="1268">
        <f t="shared" si="82"/>
        <v>0</v>
      </c>
      <c r="AH426" s="1268"/>
      <c r="AI426" s="1268">
        <f t="shared" si="83"/>
        <v>0</v>
      </c>
      <c r="AJ426" s="1268"/>
      <c r="AK426" s="1268">
        <f t="shared" si="84"/>
        <v>0</v>
      </c>
      <c r="AL426" s="1268"/>
      <c r="AM426" s="1268">
        <f t="shared" si="85"/>
        <v>0</v>
      </c>
      <c r="AN426" s="1268"/>
      <c r="AV426" s="1268">
        <f t="shared" si="86"/>
        <v>0</v>
      </c>
      <c r="AW426" s="1268"/>
      <c r="AX426" s="1268">
        <f t="shared" si="87"/>
        <v>0</v>
      </c>
      <c r="AY426" s="1268"/>
      <c r="AZ426" s="1268">
        <f t="shared" si="88"/>
        <v>0</v>
      </c>
      <c r="BA426" s="1268"/>
      <c r="BB426" s="1268">
        <f t="shared" si="89"/>
        <v>0</v>
      </c>
      <c r="BC426" s="1268"/>
      <c r="BD426" s="1268">
        <f t="shared" si="90"/>
        <v>0</v>
      </c>
      <c r="BE426" s="1268"/>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366">
        <f>SUM(AO376:AP426)</f>
        <v>0</v>
      </c>
      <c r="AM429" s="1341"/>
      <c r="AN429" s="1341"/>
      <c r="AO429" s="1341"/>
      <c r="AP429" s="1341"/>
      <c r="AV429" s="283"/>
      <c r="AW429" s="283"/>
      <c r="AX429" s="283"/>
      <c r="AY429" s="283"/>
      <c r="AZ429" s="283"/>
      <c r="BA429" s="283"/>
      <c r="BB429" s="283"/>
      <c r="BC429" s="1366">
        <f>SUM(BF376:BG426)</f>
        <v>0</v>
      </c>
      <c r="BD429" s="1341"/>
      <c r="BE429" s="1341"/>
      <c r="BF429" s="1341"/>
      <c r="BG429" s="1341"/>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332" t="s">
        <v>788</v>
      </c>
      <c r="S434" s="1332"/>
      <c r="T434" s="1332"/>
      <c r="U434" s="1332"/>
      <c r="V434" s="1332"/>
      <c r="W434" s="1332"/>
      <c r="X434" s="1332"/>
      <c r="Y434" s="1332"/>
      <c r="Z434" s="1332"/>
      <c r="AA434" s="1332"/>
      <c r="AE434" s="1332" t="s">
        <v>788</v>
      </c>
      <c r="AF434" s="1332"/>
      <c r="AG434" s="1332"/>
      <c r="AH434" s="1332"/>
      <c r="AI434" s="1332"/>
      <c r="AJ434" s="1332"/>
      <c r="AK434" s="1332"/>
      <c r="AL434" s="1332"/>
      <c r="AM434" s="1332"/>
      <c r="AN434" s="1332"/>
      <c r="AV434" s="1332" t="s">
        <v>788</v>
      </c>
      <c r="AW434" s="1332"/>
      <c r="AX434" s="1332"/>
      <c r="AY434" s="1332"/>
      <c r="AZ434" s="1332"/>
      <c r="BA434" s="1332"/>
      <c r="BB434" s="1332"/>
      <c r="BC434" s="1332"/>
      <c r="BD434" s="1332"/>
      <c r="BE434" s="1332"/>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332">
        <v>6</v>
      </c>
      <c r="S435" s="1332"/>
      <c r="T435" s="1332">
        <v>10</v>
      </c>
      <c r="U435" s="1332"/>
      <c r="V435" s="1332">
        <v>14</v>
      </c>
      <c r="W435" s="1332"/>
      <c r="X435" s="1332">
        <v>18</v>
      </c>
      <c r="Y435" s="1332"/>
      <c r="Z435" s="1332">
        <v>22</v>
      </c>
      <c r="AA435" s="1332"/>
      <c r="AE435" s="1332">
        <v>6</v>
      </c>
      <c r="AF435" s="1332"/>
      <c r="AG435" s="1332">
        <v>10</v>
      </c>
      <c r="AH435" s="1332"/>
      <c r="AI435" s="1332">
        <v>14</v>
      </c>
      <c r="AJ435" s="1332"/>
      <c r="AK435" s="1332">
        <v>18</v>
      </c>
      <c r="AL435" s="1332"/>
      <c r="AM435" s="1332">
        <v>22</v>
      </c>
      <c r="AN435" s="1332"/>
      <c r="AO435" s="1537">
        <f>SUM(AE436:AN439)</f>
        <v>0</v>
      </c>
      <c r="AP435" s="1538"/>
      <c r="AV435" s="1332">
        <v>6</v>
      </c>
      <c r="AW435" s="1332"/>
      <c r="AX435" s="1332">
        <v>10</v>
      </c>
      <c r="AY435" s="1332"/>
      <c r="AZ435" s="1332">
        <v>14</v>
      </c>
      <c r="BA435" s="1332"/>
      <c r="BB435" s="1332">
        <v>18</v>
      </c>
      <c r="BC435" s="1332"/>
      <c r="BD435" s="1332">
        <v>22</v>
      </c>
      <c r="BE435" s="1332"/>
      <c r="BF435" s="1537">
        <f>SUM(AV436:BE439)</f>
        <v>0</v>
      </c>
      <c r="BG435" s="1538"/>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Pompe circolazione caldo</v>
      </c>
      <c r="R436" s="1517">
        <v>1</v>
      </c>
      <c r="S436" s="1517"/>
      <c r="T436" s="1517">
        <v>0.4</v>
      </c>
      <c r="U436" s="1517"/>
      <c r="V436" s="1517">
        <v>0</v>
      </c>
      <c r="W436" s="1517"/>
      <c r="X436" s="1517">
        <v>0</v>
      </c>
      <c r="Y436" s="1517"/>
      <c r="Z436" s="1517">
        <v>0</v>
      </c>
      <c r="AA436" s="1517"/>
      <c r="AE436" s="1347">
        <f>IF($AE$368=AE435,R436,0)</f>
        <v>0</v>
      </c>
      <c r="AF436" s="1347"/>
      <c r="AG436" s="1347">
        <f t="shared" ref="AG436" si="91">IF($AE$368=AG435,T436,0)</f>
        <v>0</v>
      </c>
      <c r="AH436" s="1347"/>
      <c r="AI436" s="1347">
        <f>IF($AE$368=AI435,V436,0)</f>
        <v>0</v>
      </c>
      <c r="AJ436" s="1347"/>
      <c r="AK436" s="1347">
        <f t="shared" ref="AK436" si="92">IF($AE$368=AK435,X436,0)</f>
        <v>0</v>
      </c>
      <c r="AL436" s="1347"/>
      <c r="AM436" s="1347">
        <f t="shared" ref="AM436" si="93">IF($AE$368=AM435,Z436,0)</f>
        <v>0</v>
      </c>
      <c r="AN436" s="1347"/>
      <c r="AO436" s="70"/>
      <c r="AP436" s="70"/>
      <c r="AV436" s="1268">
        <f>IF($AV$368=AV435,R436,0)</f>
        <v>0</v>
      </c>
      <c r="AW436" s="1268"/>
      <c r="AX436" s="1268">
        <f t="shared" ref="AX436" si="94">IF($AV$368=AX435,T436,0)</f>
        <v>0</v>
      </c>
      <c r="AY436" s="1268"/>
      <c r="AZ436" s="1268">
        <f>IF($AV$368=AZ435,V436,0)</f>
        <v>0</v>
      </c>
      <c r="BA436" s="1268"/>
      <c r="BB436" s="1268">
        <f>IF($AV$368=BB435,X436,0)</f>
        <v>0</v>
      </c>
      <c r="BC436" s="1268"/>
      <c r="BD436" s="1268">
        <f t="shared" ref="BD436" si="95">IF($AV$368=BD435,Z436,0)</f>
        <v>0</v>
      </c>
      <c r="BE436" s="1268"/>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Pompe circolazione caldo</v>
      </c>
      <c r="J438" s="283"/>
      <c r="K438" s="283"/>
      <c r="L438" s="283"/>
      <c r="M438" s="283"/>
      <c r="N438" s="283"/>
      <c r="O438" s="283"/>
      <c r="P438" s="283"/>
      <c r="Q438" s="283"/>
      <c r="U438"/>
      <c r="AO438" s="1532">
        <f>AO435</f>
        <v>0</v>
      </c>
      <c r="AP438" s="1532"/>
      <c r="BF438" s="1532">
        <f>BF435</f>
        <v>0</v>
      </c>
      <c r="BG438" s="1532"/>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Pompe nebulizzazione</v>
      </c>
      <c r="J439" s="475"/>
      <c r="K439" s="475"/>
      <c r="L439" s="475"/>
      <c r="M439" s="475"/>
      <c r="N439" s="475"/>
      <c r="O439" s="475"/>
      <c r="P439" s="475"/>
      <c r="Q439" s="475"/>
      <c r="V439" s="27"/>
      <c r="W439" s="27"/>
      <c r="Z439" s="1353">
        <v>0.5</v>
      </c>
      <c r="AA439" s="1353"/>
      <c r="AO439" s="1533">
        <f>Z439</f>
        <v>0.5</v>
      </c>
      <c r="AP439" s="1533"/>
      <c r="BF439" s="1533">
        <f>Z439</f>
        <v>0.5</v>
      </c>
      <c r="BG439" s="1533"/>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Ventilatori raffreddato /condensatore</v>
      </c>
      <c r="J440" s="475"/>
      <c r="K440" s="475"/>
      <c r="L440" s="475"/>
      <c r="M440" s="475"/>
      <c r="N440" s="475"/>
      <c r="O440" s="475"/>
      <c r="P440" s="475"/>
      <c r="Q440" s="475"/>
      <c r="V440" s="27"/>
      <c r="W440" s="27"/>
      <c r="Z440" s="1353">
        <v>1</v>
      </c>
      <c r="AA440" s="1353"/>
      <c r="AO440" s="1533">
        <f t="shared" ref="AO440:AO441" si="96">Z440</f>
        <v>1</v>
      </c>
      <c r="AP440" s="1533"/>
      <c r="BF440" s="1533">
        <f t="shared" ref="BF440:BF441" si="97">Z440</f>
        <v>1</v>
      </c>
      <c r="BG440" s="1533"/>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53">
        <v>1</v>
      </c>
      <c r="AA441" s="1353"/>
      <c r="AO441" s="1533">
        <f t="shared" si="96"/>
        <v>1</v>
      </c>
      <c r="AP441" s="1533"/>
      <c r="BF441" s="1533">
        <f t="shared" si="97"/>
        <v>1</v>
      </c>
      <c r="BG441" s="1533"/>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84"/>
      <c r="AP443" s="1584"/>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32"/>
      <c r="AP444" s="1532"/>
      <c r="BF444" s="1532">
        <f>BF440</f>
        <v>1</v>
      </c>
      <c r="BG444" s="1532"/>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Impianto con free-cooling</v>
      </c>
      <c r="K448" s="475"/>
      <c r="L448" s="475"/>
      <c r="M448" s="475"/>
      <c r="N448" s="475"/>
      <c r="O448" s="475"/>
      <c r="P448" s="475"/>
      <c r="Q448" s="475"/>
      <c r="V448" s="27"/>
      <c r="W448" s="27"/>
      <c r="AE448" s="1529" t="str">
        <f>IF(AE459=1,J448,"")</f>
        <v/>
      </c>
      <c r="AF448" s="1529"/>
      <c r="AG448" s="1529"/>
      <c r="AH448" s="1529"/>
      <c r="AI448" s="1529"/>
      <c r="AJ448" s="1529"/>
      <c r="AK448" s="1529"/>
      <c r="AL448" s="1529"/>
      <c r="AM448" s="1529"/>
      <c r="AN448" s="1529"/>
      <c r="AO448" s="1529"/>
      <c r="AP448" s="1529"/>
      <c r="AV448" s="1529" t="str">
        <f>IF(BC459=1,J448,"")</f>
        <v/>
      </c>
      <c r="AW448" s="1529"/>
      <c r="AX448" s="1529"/>
      <c r="AY448" s="1529"/>
      <c r="AZ448" s="1529"/>
      <c r="BA448" s="1529"/>
      <c r="BB448" s="1529"/>
      <c r="BC448" s="1529"/>
      <c r="BD448" s="1529"/>
      <c r="BE448" s="1529"/>
      <c r="BF448" s="1529"/>
      <c r="BG448" s="1529"/>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300">
        <f>AN220</f>
        <v>0</v>
      </c>
      <c r="Y457" s="1300"/>
      <c r="Z457" s="1300"/>
      <c r="AA457" s="1300"/>
      <c r="AB457" s="1300"/>
      <c r="AC457" s="1300"/>
      <c r="AE457" s="1300">
        <f>AN272</f>
        <v>0</v>
      </c>
      <c r="AF457" s="1300"/>
      <c r="AG457" s="1300"/>
      <c r="AH457" s="1300"/>
      <c r="AI457" s="1300"/>
      <c r="AJ457" s="1300"/>
      <c r="AV457" s="1300">
        <f>BL225</f>
        <v>0</v>
      </c>
      <c r="AW457" s="1300"/>
      <c r="AX457" s="1300"/>
      <c r="AY457" s="1300"/>
      <c r="AZ457" s="1300"/>
      <c r="BA457" s="1300"/>
      <c r="BC457" s="1300">
        <f>BL272</f>
        <v>0</v>
      </c>
      <c r="BD457" s="1300"/>
      <c r="BE457" s="1300"/>
      <c r="BF457" s="1300"/>
      <c r="BG457" s="1300"/>
      <c r="BH457" s="1300"/>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56">
        <f>AL429</f>
        <v>0</v>
      </c>
      <c r="Y458" s="1301"/>
      <c r="Z458" s="1301"/>
      <c r="AA458" s="1301"/>
      <c r="AB458" s="1301"/>
      <c r="AC458" s="1301"/>
      <c r="AE458" s="1356">
        <f>X458</f>
        <v>0</v>
      </c>
      <c r="AF458" s="1301"/>
      <c r="AG458" s="1301"/>
      <c r="AH458" s="1301"/>
      <c r="AI458" s="1301"/>
      <c r="AJ458" s="1301"/>
      <c r="AV458" s="1356">
        <f>BC429</f>
        <v>0</v>
      </c>
      <c r="AW458" s="1301"/>
      <c r="AX458" s="1301"/>
      <c r="AY458" s="1301"/>
      <c r="AZ458" s="1301"/>
      <c r="BA458" s="1301"/>
      <c r="BC458" s="1356">
        <f>AV458</f>
        <v>0</v>
      </c>
      <c r="BD458" s="1301"/>
      <c r="BE458" s="1301"/>
      <c r="BF458" s="1301"/>
      <c r="BG458" s="1301"/>
      <c r="BH458" s="1301"/>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56">
        <f>IF(AB115=H323,1,0)</f>
        <v>0</v>
      </c>
      <c r="Y459" s="1356"/>
      <c r="Z459" s="1356"/>
      <c r="AA459" s="1356"/>
      <c r="AB459" s="1356"/>
      <c r="AC459" s="1356"/>
      <c r="AE459" s="1356">
        <f>IF(AM459=H323,1,0)</f>
        <v>0</v>
      </c>
      <c r="AF459" s="1356"/>
      <c r="AG459" s="1356"/>
      <c r="AH459" s="1356"/>
      <c r="AI459" s="1356"/>
      <c r="AJ459" s="1356"/>
      <c r="AM459" s="1534" t="str">
        <f>IF(AB115=H323,H323,H324)</f>
        <v>No</v>
      </c>
      <c r="AN459" s="1534"/>
      <c r="AO459" s="1534"/>
      <c r="AP459" s="1534"/>
      <c r="AV459" s="1356">
        <f>IF(AZ115=H323,1,0)</f>
        <v>0</v>
      </c>
      <c r="AW459" s="1356"/>
      <c r="AX459" s="1356"/>
      <c r="AY459" s="1356"/>
      <c r="AZ459" s="1356"/>
      <c r="BA459" s="1356"/>
      <c r="BC459" s="1356">
        <f>IF(BK459=H323,1,0)</f>
        <v>0</v>
      </c>
      <c r="BD459" s="1356"/>
      <c r="BE459" s="1356"/>
      <c r="BF459" s="1356"/>
      <c r="BG459" s="1356"/>
      <c r="BH459" s="1356"/>
      <c r="BK459" s="1534" t="str">
        <f>IF(AZ115=H323,H323,H324)</f>
        <v>No</v>
      </c>
      <c r="BL459" s="1534"/>
      <c r="BM459" s="1534"/>
      <c r="BN459" s="1534"/>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300">
        <f>X457*X458*X459</f>
        <v>0</v>
      </c>
      <c r="Y460" s="1300"/>
      <c r="Z460" s="1300"/>
      <c r="AA460" s="1300"/>
      <c r="AB460" s="1300"/>
      <c r="AC460" s="1300"/>
      <c r="AE460" s="1300">
        <f>AE457*AE458*AE459</f>
        <v>0</v>
      </c>
      <c r="AF460" s="1300"/>
      <c r="AG460" s="1300"/>
      <c r="AH460" s="1300"/>
      <c r="AI460" s="1300"/>
      <c r="AJ460" s="1300"/>
      <c r="AV460" s="1300">
        <f>AV457*AV458*AV459</f>
        <v>0</v>
      </c>
      <c r="AW460" s="1300"/>
      <c r="AX460" s="1300"/>
      <c r="AY460" s="1300"/>
      <c r="AZ460" s="1300"/>
      <c r="BA460" s="1300"/>
      <c r="BC460" s="1300">
        <f>BC457*BC458*BC459</f>
        <v>0</v>
      </c>
      <c r="BD460" s="1300"/>
      <c r="BE460" s="1300"/>
      <c r="BF460" s="1300"/>
      <c r="BG460" s="1300"/>
      <c r="BH460" s="1300"/>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300">
        <f>IF(LEN(X460)&lt;3,0,IF(LEN(X460)=3,-1,IF(LEN(X460)=4,-2,-3)))</f>
        <v>0</v>
      </c>
      <c r="Y461" s="1300"/>
      <c r="Z461" s="1300"/>
      <c r="AA461" s="1300"/>
      <c r="AB461" s="1300"/>
      <c r="AC461" s="1300"/>
      <c r="AE461" s="1300">
        <f>IF(LEN(AE460)&lt;3,0,IF(LEN(AE460)=3,-1,IF(LEN(AE460)=4,-2,-3)))</f>
        <v>0</v>
      </c>
      <c r="AF461" s="1300"/>
      <c r="AG461" s="1300"/>
      <c r="AH461" s="1300"/>
      <c r="AI461" s="1300"/>
      <c r="AJ461" s="1300"/>
      <c r="AV461" s="1300">
        <f>IF(LEN(AV460)&lt;3,0,IF(LEN(AV460)=3,-1,IF(LEN(AV460)=4,-2,-3)))</f>
        <v>0</v>
      </c>
      <c r="AW461" s="1300"/>
      <c r="AX461" s="1300"/>
      <c r="AY461" s="1300"/>
      <c r="AZ461" s="1300"/>
      <c r="BA461" s="1300"/>
      <c r="BC461" s="1300">
        <f>IF(LEN(BC460)&lt;3,0,IF(LEN(BC460)=3,-1,IF(LEN(BC460)=4,-2,-3)))</f>
        <v>0</v>
      </c>
      <c r="BD461" s="1300"/>
      <c r="BE461" s="1300"/>
      <c r="BF461" s="1300"/>
      <c r="BG461" s="1300"/>
      <c r="BH461" s="1300"/>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300">
        <f>ROUND(X460,X461)</f>
        <v>0</v>
      </c>
      <c r="Y462" s="1300"/>
      <c r="Z462" s="1300"/>
      <c r="AA462" s="1300"/>
      <c r="AB462" s="1300"/>
      <c r="AC462" s="1300"/>
      <c r="AE462" s="1300">
        <f>ROUND(AE460,AE461)</f>
        <v>0</v>
      </c>
      <c r="AF462" s="1300"/>
      <c r="AG462" s="1300"/>
      <c r="AH462" s="1300"/>
      <c r="AI462" s="1300"/>
      <c r="AJ462" s="1300"/>
      <c r="AV462" s="1300">
        <f>ROUND(AV460,AV461)</f>
        <v>0</v>
      </c>
      <c r="AW462" s="1300"/>
      <c r="AX462" s="1300"/>
      <c r="AY462" s="1300"/>
      <c r="AZ462" s="1300"/>
      <c r="BA462" s="1300"/>
      <c r="BC462" s="1300">
        <f>ROUND(BC460,BC461)</f>
        <v>0</v>
      </c>
      <c r="BD462" s="1300"/>
      <c r="BE462" s="1300"/>
      <c r="BF462" s="1300"/>
      <c r="BG462" s="1300"/>
      <c r="BH462" s="1300"/>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300">
        <f>X457-X462</f>
        <v>0</v>
      </c>
      <c r="Y463" s="1300"/>
      <c r="Z463" s="1300"/>
      <c r="AA463" s="1300"/>
      <c r="AB463" s="1300"/>
      <c r="AC463" s="1300"/>
      <c r="AE463" s="1300">
        <f>AE457-AE462</f>
        <v>0</v>
      </c>
      <c r="AF463" s="1300"/>
      <c r="AG463" s="1300"/>
      <c r="AH463" s="1300"/>
      <c r="AI463" s="1300"/>
      <c r="AJ463" s="1300"/>
      <c r="AV463" s="1300">
        <f>AV457-AV462</f>
        <v>0</v>
      </c>
      <c r="AW463" s="1300"/>
      <c r="AX463" s="1300"/>
      <c r="AY463" s="1300"/>
      <c r="AZ463" s="1300"/>
      <c r="BA463" s="1300"/>
      <c r="BC463" s="1300">
        <f>BC457-BC462</f>
        <v>0</v>
      </c>
      <c r="BD463" s="1300"/>
      <c r="BE463" s="1300"/>
      <c r="BF463" s="1300"/>
      <c r="BG463" s="1300"/>
      <c r="BH463" s="1300"/>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30">
        <f>X77</f>
        <v>0</v>
      </c>
      <c r="Y465" s="1530"/>
      <c r="Z465" s="1530"/>
      <c r="AA465" s="1530"/>
      <c r="AB465" s="1530"/>
      <c r="AC465" s="1530"/>
      <c r="AE465" s="1530">
        <f>X465</f>
        <v>0</v>
      </c>
      <c r="AF465" s="1530"/>
      <c r="AG465" s="1530"/>
      <c r="AH465" s="1530"/>
      <c r="AI465" s="1530"/>
      <c r="AJ465" s="1530"/>
      <c r="AV465" s="1530">
        <f>AV77</f>
        <v>0</v>
      </c>
      <c r="AW465" s="1530"/>
      <c r="AX465" s="1530"/>
      <c r="AY465" s="1530"/>
      <c r="AZ465" s="1530"/>
      <c r="BA465" s="1530"/>
      <c r="BC465" s="1530">
        <f>AV465</f>
        <v>0</v>
      </c>
      <c r="BD465" s="1530"/>
      <c r="BE465" s="1530"/>
      <c r="BF465" s="1530"/>
      <c r="BG465" s="1530"/>
      <c r="BH465" s="1530"/>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300">
        <f>IF(X465=0,0,X463/X465)</f>
        <v>0</v>
      </c>
      <c r="Y467" s="1300"/>
      <c r="Z467" s="1300"/>
      <c r="AA467" s="1300"/>
      <c r="AB467" s="1300"/>
      <c r="AC467" s="1300"/>
      <c r="AE467" s="1300">
        <f>IF(AE465=0,0,AE463/AE465)</f>
        <v>0</v>
      </c>
      <c r="AF467" s="1300"/>
      <c r="AG467" s="1300"/>
      <c r="AH467" s="1300"/>
      <c r="AI467" s="1300"/>
      <c r="AJ467" s="1300"/>
      <c r="AV467" s="1300">
        <f>IF(AV465=0,0,AV463/AV465)</f>
        <v>0</v>
      </c>
      <c r="AW467" s="1300"/>
      <c r="AX467" s="1300"/>
      <c r="AY467" s="1300"/>
      <c r="AZ467" s="1300"/>
      <c r="BA467" s="1300"/>
      <c r="BC467" s="1300">
        <f>IF(BC465=0,0,BC463/BC465)</f>
        <v>0</v>
      </c>
      <c r="BD467" s="1300"/>
      <c r="BE467" s="1300"/>
      <c r="BF467" s="1300"/>
      <c r="BG467" s="1300"/>
      <c r="BH467" s="1300"/>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300">
        <f>IF(LEN(X467)&lt;3,0,IF(LEN(X467)=3,-1,IF(LEN(X467)=4,-2,-3)))</f>
        <v>0</v>
      </c>
      <c r="Y468" s="1300"/>
      <c r="Z468" s="1300"/>
      <c r="AA468" s="1300"/>
      <c r="AB468" s="1300"/>
      <c r="AC468" s="1300"/>
      <c r="AE468" s="1300">
        <f>IF(LEN(AE467)&lt;3,0,IF(LEN(AE467)=3,-1,IF(LEN(AE467)=4,-2,-3)))</f>
        <v>0</v>
      </c>
      <c r="AF468" s="1300"/>
      <c r="AG468" s="1300"/>
      <c r="AH468" s="1300"/>
      <c r="AI468" s="1300"/>
      <c r="AJ468" s="1300"/>
      <c r="AV468" s="1300">
        <f>IF(LEN(AV467)&lt;3,0,IF(LEN(AV467)=3,-1,IF(LEN(AV467)=4,-2,-3)))</f>
        <v>0</v>
      </c>
      <c r="AW468" s="1300"/>
      <c r="AX468" s="1300"/>
      <c r="AY468" s="1300"/>
      <c r="AZ468" s="1300"/>
      <c r="BA468" s="1300"/>
      <c r="BC468" s="1300">
        <f>IF(LEN(BC467)&lt;3,0,IF(LEN(BC467)=3,-1,IF(LEN(BC467)=4,-2,-3)))</f>
        <v>0</v>
      </c>
      <c r="BD468" s="1300"/>
      <c r="BE468" s="1300"/>
      <c r="BF468" s="1300"/>
      <c r="BG468" s="1300"/>
      <c r="BH468" s="1300"/>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300">
        <f>ROUND(X467,X468)</f>
        <v>0</v>
      </c>
      <c r="Y469" s="1300"/>
      <c r="Z469" s="1300"/>
      <c r="AA469" s="1300"/>
      <c r="AB469" s="1300"/>
      <c r="AC469" s="1300"/>
      <c r="AE469" s="1300">
        <f>ROUND(AE467,AE468)</f>
        <v>0</v>
      </c>
      <c r="AF469" s="1300"/>
      <c r="AG469" s="1300"/>
      <c r="AH469" s="1300"/>
      <c r="AI469" s="1300"/>
      <c r="AJ469" s="1300"/>
      <c r="AV469" s="1300">
        <f>ROUND(AV467,AV468)</f>
        <v>0</v>
      </c>
      <c r="AW469" s="1300"/>
      <c r="AX469" s="1300"/>
      <c r="AY469" s="1300"/>
      <c r="AZ469" s="1300"/>
      <c r="BA469" s="1300"/>
      <c r="BC469" s="1300">
        <f>ROUND(BC467,BC468)</f>
        <v>0</v>
      </c>
      <c r="BD469" s="1300"/>
      <c r="BE469" s="1300"/>
      <c r="BF469" s="1300"/>
      <c r="BG469" s="1300"/>
      <c r="BH469" s="1300"/>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300">
        <f>X467*X458*X459</f>
        <v>0</v>
      </c>
      <c r="Y471" s="1300"/>
      <c r="Z471" s="1300"/>
      <c r="AA471" s="1300"/>
      <c r="AB471" s="1300"/>
      <c r="AC471" s="1300"/>
      <c r="AE471" s="1300">
        <f>AE467*AE458*AE459</f>
        <v>0</v>
      </c>
      <c r="AF471" s="1300"/>
      <c r="AG471" s="1300"/>
      <c r="AH471" s="1300"/>
      <c r="AI471" s="1300"/>
      <c r="AJ471" s="1300"/>
      <c r="AV471" s="1300">
        <f>AV467*AV458*AV459</f>
        <v>0</v>
      </c>
      <c r="AW471" s="1300"/>
      <c r="AX471" s="1300"/>
      <c r="AY471" s="1300"/>
      <c r="AZ471" s="1300"/>
      <c r="BA471" s="1300"/>
      <c r="BC471" s="1300">
        <f>BC467*BC458*BC459</f>
        <v>0</v>
      </c>
      <c r="BD471" s="1300"/>
      <c r="BE471" s="1300"/>
      <c r="BF471" s="1300"/>
      <c r="BG471" s="1300"/>
      <c r="BH471" s="1300"/>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300">
        <f>IF(LEN(X471)&lt;3,0,IF(LEN(X471)=3,-1,IF(LEN(X471)=4,-2,-3)))</f>
        <v>0</v>
      </c>
      <c r="Y472" s="1300"/>
      <c r="Z472" s="1300"/>
      <c r="AA472" s="1300"/>
      <c r="AB472" s="1300"/>
      <c r="AC472" s="1300"/>
      <c r="AE472" s="1300">
        <f>IF(LEN(AE471)&lt;3,0,IF(LEN(AE471)=3,-1,IF(LEN(AE471)=4,-2,-3)))</f>
        <v>0</v>
      </c>
      <c r="AF472" s="1300"/>
      <c r="AG472" s="1300"/>
      <c r="AH472" s="1300"/>
      <c r="AI472" s="1300"/>
      <c r="AJ472" s="1300"/>
      <c r="AV472" s="1300">
        <f>IF(LEN(AV471)&lt;3,0,IF(LEN(AV471)=3,-1,IF(LEN(AV471)=4,-2,-3)))</f>
        <v>0</v>
      </c>
      <c r="AW472" s="1300"/>
      <c r="AX472" s="1300"/>
      <c r="AY472" s="1300"/>
      <c r="AZ472" s="1300"/>
      <c r="BA472" s="1300"/>
      <c r="BC472" s="1300">
        <f>IF(LEN(BC471)&lt;3,0,IF(LEN(BC471)=3,-1,IF(LEN(BC471)=4,-2,-3)))</f>
        <v>0</v>
      </c>
      <c r="BD472" s="1300"/>
      <c r="BE472" s="1300"/>
      <c r="BF472" s="1300"/>
      <c r="BG472" s="1300"/>
      <c r="BH472" s="1300"/>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300">
        <f>ROUND(X471,X472)</f>
        <v>0</v>
      </c>
      <c r="Y473" s="1300"/>
      <c r="Z473" s="1300"/>
      <c r="AA473" s="1300"/>
      <c r="AB473" s="1300"/>
      <c r="AC473" s="1300"/>
      <c r="AE473" s="1300">
        <f>ROUND(AE471,AE472)</f>
        <v>0</v>
      </c>
      <c r="AF473" s="1300"/>
      <c r="AG473" s="1300"/>
      <c r="AH473" s="1300"/>
      <c r="AI473" s="1300"/>
      <c r="AJ473" s="1300"/>
      <c r="AV473" s="1300">
        <f>ROUND(AV471,AV472)</f>
        <v>0</v>
      </c>
      <c r="AW473" s="1300"/>
      <c r="AX473" s="1300"/>
      <c r="AY473" s="1300"/>
      <c r="AZ473" s="1300"/>
      <c r="BA473" s="1300"/>
      <c r="BC473" s="1300">
        <f>ROUND(BC471,BC472)</f>
        <v>0</v>
      </c>
      <c r="BD473" s="1300"/>
      <c r="BE473" s="1300"/>
      <c r="BF473" s="1300"/>
      <c r="BG473" s="1300"/>
      <c r="BH473" s="1300"/>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300">
        <f>ROUND(AN219,-1)</f>
        <v>0</v>
      </c>
      <c r="Y475" s="1300"/>
      <c r="Z475" s="1300"/>
      <c r="AA475" s="1300"/>
      <c r="AB475" s="1300"/>
      <c r="AC475" s="1300"/>
      <c r="AE475" s="1300">
        <f>ROUND(AN271,-1)</f>
        <v>0</v>
      </c>
      <c r="AF475" s="1300"/>
      <c r="AG475" s="1300"/>
      <c r="AH475" s="1300"/>
      <c r="AI475" s="1300"/>
      <c r="AJ475" s="1300"/>
      <c r="AV475" s="1300">
        <f>ROUND(BL219,-1)</f>
        <v>0</v>
      </c>
      <c r="AW475" s="1300"/>
      <c r="AX475" s="1300"/>
      <c r="AY475" s="1300"/>
      <c r="AZ475" s="1300"/>
      <c r="BA475" s="1300"/>
      <c r="BC475" s="1300">
        <f>ROUND(BL271,-1)</f>
        <v>0</v>
      </c>
      <c r="BD475" s="1300"/>
      <c r="BE475" s="1300"/>
      <c r="BF475" s="1300"/>
      <c r="BG475" s="1300"/>
      <c r="BH475" s="1300"/>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300">
        <f>ROUND(X458*X475*X459,-1)</f>
        <v>0</v>
      </c>
      <c r="Y476" s="1300"/>
      <c r="Z476" s="1300"/>
      <c r="AA476" s="1300"/>
      <c r="AB476" s="1300"/>
      <c r="AC476" s="1300"/>
      <c r="AE476" s="1300">
        <f>ROUND(AE458*AE475*AE459,-1)</f>
        <v>0</v>
      </c>
      <c r="AF476" s="1300"/>
      <c r="AG476" s="1300"/>
      <c r="AH476" s="1300"/>
      <c r="AI476" s="1300"/>
      <c r="AJ476" s="1300"/>
      <c r="AV476" s="1300">
        <f>ROUND(AV458*AV475*AV459,-1)</f>
        <v>0</v>
      </c>
      <c r="AW476" s="1300"/>
      <c r="AX476" s="1300"/>
      <c r="AY476" s="1300"/>
      <c r="AZ476" s="1300"/>
      <c r="BA476" s="1300"/>
      <c r="BC476" s="1300">
        <f>ROUND(BC458*BC475*BC459,-1)</f>
        <v>0</v>
      </c>
      <c r="BD476" s="1300"/>
      <c r="BE476" s="1300"/>
      <c r="BF476" s="1300"/>
      <c r="BG476" s="1300"/>
      <c r="BH476" s="1300"/>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300">
        <f>X475-X476</f>
        <v>0</v>
      </c>
      <c r="Y477" s="1300"/>
      <c r="Z477" s="1300"/>
      <c r="AA477" s="1300"/>
      <c r="AB477" s="1300"/>
      <c r="AC477" s="1300"/>
      <c r="AE477" s="1300">
        <f>AE475-AE476</f>
        <v>0</v>
      </c>
      <c r="AF477" s="1300"/>
      <c r="AG477" s="1300"/>
      <c r="AH477" s="1300"/>
      <c r="AI477" s="1300"/>
      <c r="AJ477" s="1300"/>
      <c r="AV477" s="1300">
        <f>AV475-AV476</f>
        <v>0</v>
      </c>
      <c r="AW477" s="1300"/>
      <c r="AX477" s="1300"/>
      <c r="AY477" s="1300"/>
      <c r="AZ477" s="1300"/>
      <c r="BA477" s="1300"/>
      <c r="BC477" s="1300">
        <f>BC475-BC476</f>
        <v>0</v>
      </c>
      <c r="BD477" s="1300"/>
      <c r="BE477" s="1300"/>
      <c r="BF477" s="1300"/>
      <c r="BG477" s="1300"/>
      <c r="BH477" s="1300"/>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300"/>
      <c r="Y479" s="1300"/>
      <c r="Z479" s="1300"/>
      <c r="AA479" s="1300"/>
      <c r="AB479" s="1300"/>
      <c r="AC479" s="1300"/>
      <c r="AE479" s="1300"/>
      <c r="AF479" s="1300"/>
      <c r="AG479" s="1300"/>
      <c r="AH479" s="1300"/>
      <c r="AI479" s="1300"/>
      <c r="AJ479" s="1300"/>
      <c r="AV479" s="1300"/>
      <c r="AW479" s="1300"/>
      <c r="AX479" s="1300"/>
      <c r="AY479" s="1300"/>
      <c r="AZ479" s="1300"/>
      <c r="BA479" s="1300"/>
      <c r="BC479" s="1300"/>
      <c r="BD479" s="1300"/>
      <c r="BE479" s="1300"/>
      <c r="BF479" s="1300"/>
      <c r="BG479" s="1300"/>
      <c r="BH479" s="1300"/>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Pompe circolazione caldo</v>
      </c>
      <c r="J482" s="283"/>
      <c r="K482" s="283"/>
      <c r="L482" s="283"/>
      <c r="M482" s="283"/>
      <c r="N482" s="283"/>
      <c r="O482" s="283"/>
      <c r="P482" s="283"/>
      <c r="Q482" s="283"/>
      <c r="R482" s="283"/>
      <c r="S482" s="283"/>
      <c r="T482" s="283"/>
      <c r="U482" s="485"/>
      <c r="V482" s="283"/>
      <c r="W482" s="283"/>
      <c r="X482" s="1300">
        <f>ROUND($AO438*X$476,-1)</f>
        <v>0</v>
      </c>
      <c r="Y482" s="1300"/>
      <c r="Z482" s="1300"/>
      <c r="AA482" s="1300"/>
      <c r="AB482" s="1300"/>
      <c r="AC482" s="1300"/>
      <c r="AD482" t="s">
        <v>116</v>
      </c>
      <c r="AE482" s="1300">
        <f>ROUND($AO438*AE$476,-1)</f>
        <v>0</v>
      </c>
      <c r="AF482" s="1300"/>
      <c r="AG482" s="1300"/>
      <c r="AH482" s="1300"/>
      <c r="AI482" s="1300"/>
      <c r="AJ482" s="1300"/>
      <c r="AK482" t="s">
        <v>116</v>
      </c>
      <c r="AV482" s="1300">
        <f>ROUND($BF438*AV$476,-1)</f>
        <v>0</v>
      </c>
      <c r="AW482" s="1300"/>
      <c r="AX482" s="1300"/>
      <c r="AY482" s="1300"/>
      <c r="AZ482" s="1300"/>
      <c r="BA482" s="1300"/>
      <c r="BB482" t="s">
        <v>116</v>
      </c>
      <c r="BC482" s="1300">
        <f>ROUND($BF438*BC$476,-1)</f>
        <v>0</v>
      </c>
      <c r="BD482" s="1300"/>
      <c r="BE482" s="1300"/>
      <c r="BF482" s="1300"/>
      <c r="BG482" s="1300"/>
      <c r="BH482" s="1300"/>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Pompe nebulizzazione</v>
      </c>
      <c r="J483" s="475"/>
      <c r="K483" s="475"/>
      <c r="L483" s="475"/>
      <c r="M483" s="475"/>
      <c r="N483" s="475"/>
      <c r="O483" s="475"/>
      <c r="P483" s="475"/>
      <c r="Q483" s="475"/>
      <c r="R483" s="475"/>
      <c r="S483" s="475"/>
      <c r="T483" s="475"/>
      <c r="U483" s="473"/>
      <c r="V483" s="475"/>
      <c r="W483" s="475"/>
      <c r="X483" s="1300">
        <f>ROUND($AO439*X$476,-1)</f>
        <v>0</v>
      </c>
      <c r="Y483" s="1300"/>
      <c r="Z483" s="1300"/>
      <c r="AA483" s="1300"/>
      <c r="AB483" s="1300"/>
      <c r="AC483" s="1300"/>
      <c r="AD483" t="s">
        <v>116</v>
      </c>
      <c r="AE483" s="1300">
        <f>ROUND($AO439*AE$476,-1)</f>
        <v>0</v>
      </c>
      <c r="AF483" s="1300"/>
      <c r="AG483" s="1300"/>
      <c r="AH483" s="1300"/>
      <c r="AI483" s="1300"/>
      <c r="AJ483" s="1300"/>
      <c r="AK483" t="s">
        <v>116</v>
      </c>
      <c r="AV483" s="1300">
        <f>ROUND($BF439*AV$476,-1)</f>
        <v>0</v>
      </c>
      <c r="AW483" s="1300"/>
      <c r="AX483" s="1300"/>
      <c r="AY483" s="1300"/>
      <c r="AZ483" s="1300"/>
      <c r="BA483" s="1300"/>
      <c r="BB483" t="s">
        <v>116</v>
      </c>
      <c r="BC483" s="1300">
        <f>ROUND($BF439*BC$476,-1)</f>
        <v>0</v>
      </c>
      <c r="BD483" s="1300"/>
      <c r="BE483" s="1300"/>
      <c r="BF483" s="1300"/>
      <c r="BG483" s="1300"/>
      <c r="BH483" s="1300"/>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Ventilatori raffreddato /condensatore</v>
      </c>
      <c r="J484" s="475"/>
      <c r="K484" s="475"/>
      <c r="L484" s="475"/>
      <c r="M484" s="475"/>
      <c r="N484" s="475"/>
      <c r="O484" s="475"/>
      <c r="P484" s="475"/>
      <c r="Q484" s="475"/>
      <c r="R484" s="475"/>
      <c r="S484" s="475"/>
      <c r="T484" s="475"/>
      <c r="U484" s="473"/>
      <c r="V484" s="475"/>
      <c r="W484" s="475"/>
      <c r="X484" s="1300">
        <f>ROUND($AO440*X$476,-1)</f>
        <v>0</v>
      </c>
      <c r="Y484" s="1300"/>
      <c r="Z484" s="1300"/>
      <c r="AA484" s="1300"/>
      <c r="AB484" s="1300"/>
      <c r="AC484" s="1300"/>
      <c r="AD484" t="s">
        <v>116</v>
      </c>
      <c r="AE484" s="1300">
        <f>ROUND($AO440*AE$476,-1)</f>
        <v>0</v>
      </c>
      <c r="AF484" s="1300"/>
      <c r="AG484" s="1300"/>
      <c r="AH484" s="1300"/>
      <c r="AI484" s="1300"/>
      <c r="AJ484" s="1300"/>
      <c r="AK484" t="s">
        <v>116</v>
      </c>
      <c r="AV484" s="1300">
        <f>ROUND($BF440*AV$476,-1)</f>
        <v>0</v>
      </c>
      <c r="AW484" s="1300"/>
      <c r="AX484" s="1300"/>
      <c r="AY484" s="1300"/>
      <c r="AZ484" s="1300"/>
      <c r="BA484" s="1300"/>
      <c r="BB484" t="s">
        <v>116</v>
      </c>
      <c r="BC484" s="1300">
        <f>ROUND($BF440*BC$476,-1)</f>
        <v>0</v>
      </c>
      <c r="BD484" s="1300"/>
      <c r="BE484" s="1300"/>
      <c r="BF484" s="1300"/>
      <c r="BG484" s="1300"/>
      <c r="BH484" s="1300"/>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300">
        <f>ROUND($AO441*X$476,-1)</f>
        <v>0</v>
      </c>
      <c r="Y485" s="1300"/>
      <c r="Z485" s="1300"/>
      <c r="AA485" s="1300"/>
      <c r="AB485" s="1300"/>
      <c r="AC485" s="1300"/>
      <c r="AD485" t="s">
        <v>116</v>
      </c>
      <c r="AE485" s="1300">
        <f>ROUND($AO441*AE$476,-1)</f>
        <v>0</v>
      </c>
      <c r="AF485" s="1300"/>
      <c r="AG485" s="1300"/>
      <c r="AH485" s="1300"/>
      <c r="AI485" s="1300"/>
      <c r="AJ485" s="1300"/>
      <c r="AK485" t="s">
        <v>116</v>
      </c>
      <c r="AV485" s="1300">
        <f>ROUND($BF441*AV$476,-1)</f>
        <v>0</v>
      </c>
      <c r="AW485" s="1300"/>
      <c r="AX485" s="1300"/>
      <c r="AY485" s="1300"/>
      <c r="AZ485" s="1300"/>
      <c r="BA485" s="1300"/>
      <c r="BB485" t="s">
        <v>116</v>
      </c>
      <c r="BC485" s="1300">
        <f>ROUND($BF441*BC$476,-1)</f>
        <v>0</v>
      </c>
      <c r="BD485" s="1300"/>
      <c r="BE485" s="1300"/>
      <c r="BF485" s="1300"/>
      <c r="BG485" s="1300"/>
      <c r="BH485" s="1300"/>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300">
        <f>ROUND($AO440*X$476,-1)</f>
        <v>0</v>
      </c>
      <c r="Y486" s="1300"/>
      <c r="Z486" s="1300"/>
      <c r="AA486" s="1300"/>
      <c r="AB486" s="1300"/>
      <c r="AC486" s="1300"/>
      <c r="AD486" t="s">
        <v>116</v>
      </c>
      <c r="AE486" s="1300">
        <f>ROUND($AO440*AE$476,-1)</f>
        <v>0</v>
      </c>
      <c r="AF486" s="1300"/>
      <c r="AG486" s="1300"/>
      <c r="AH486" s="1300"/>
      <c r="AI486" s="1300"/>
      <c r="AJ486" s="1300"/>
      <c r="AK486" t="s">
        <v>116</v>
      </c>
      <c r="AV486" s="1300">
        <f>ROUND($BF440*AV$476,-1)</f>
        <v>0</v>
      </c>
      <c r="AW486" s="1300"/>
      <c r="AX486" s="1300"/>
      <c r="AY486" s="1300"/>
      <c r="AZ486" s="1300"/>
      <c r="BA486" s="1300"/>
      <c r="BB486" t="s">
        <v>116</v>
      </c>
      <c r="BC486" s="1300">
        <f>ROUND($BF440*BC$476,-1)</f>
        <v>0</v>
      </c>
      <c r="BD486" s="1300"/>
      <c r="BE486" s="1300"/>
      <c r="BF486" s="1300"/>
      <c r="BG486" s="1300"/>
      <c r="BH486" s="1300"/>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300"/>
      <c r="Y487" s="1300"/>
      <c r="Z487" s="1300"/>
      <c r="AA487" s="1300"/>
      <c r="AB487" s="1300"/>
      <c r="AC487" s="1300"/>
      <c r="AE487" s="1300"/>
      <c r="AF487" s="1300"/>
      <c r="AG487" s="1300"/>
      <c r="AH487" s="1300"/>
      <c r="AI487" s="1300"/>
      <c r="AJ487" s="1300"/>
      <c r="AV487" s="1300"/>
      <c r="AW487" s="1300"/>
      <c r="AX487" s="1300"/>
      <c r="AY487" s="1300"/>
      <c r="AZ487" s="1300"/>
      <c r="BA487" s="1300"/>
      <c r="BC487" s="1300"/>
      <c r="BD487" s="1300"/>
      <c r="BE487" s="1300"/>
      <c r="BF487" s="1300"/>
      <c r="BG487" s="1300"/>
      <c r="BH487" s="1300"/>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Pompe circolazione caldo</v>
      </c>
      <c r="J490" s="283"/>
      <c r="K490" s="283"/>
      <c r="L490" s="283"/>
      <c r="M490" s="283"/>
      <c r="N490" s="283"/>
      <c r="O490" s="283"/>
      <c r="P490" s="283"/>
      <c r="Q490" s="283"/>
      <c r="R490" s="283"/>
      <c r="S490" s="283"/>
      <c r="T490" s="283"/>
      <c r="U490" s="485"/>
      <c r="V490" s="283"/>
      <c r="W490" s="283"/>
      <c r="X490" s="1300">
        <f>X$477+X482</f>
        <v>0</v>
      </c>
      <c r="Y490" s="1300"/>
      <c r="Z490" s="1300"/>
      <c r="AA490" s="1300"/>
      <c r="AB490" s="1300"/>
      <c r="AC490" s="1300"/>
      <c r="AD490" t="s">
        <v>116</v>
      </c>
      <c r="AE490" s="1300">
        <f>AE$477+AE482</f>
        <v>0</v>
      </c>
      <c r="AF490" s="1300"/>
      <c r="AG490" s="1300"/>
      <c r="AH490" s="1300"/>
      <c r="AI490" s="1300"/>
      <c r="AJ490" s="1300"/>
      <c r="AK490" t="s">
        <v>116</v>
      </c>
      <c r="AV490" s="1300">
        <f>AV$477+AV482</f>
        <v>0</v>
      </c>
      <c r="AW490" s="1300"/>
      <c r="AX490" s="1300"/>
      <c r="AY490" s="1300"/>
      <c r="AZ490" s="1300"/>
      <c r="BA490" s="1300"/>
      <c r="BB490" t="s">
        <v>116</v>
      </c>
      <c r="BC490" s="1300">
        <f>BC$477+BC482</f>
        <v>0</v>
      </c>
      <c r="BD490" s="1300"/>
      <c r="BE490" s="1300"/>
      <c r="BF490" s="1300"/>
      <c r="BG490" s="1300"/>
      <c r="BH490" s="1300"/>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Pompe nebulizzazione</v>
      </c>
      <c r="J491" s="475"/>
      <c r="K491" s="475"/>
      <c r="L491" s="475"/>
      <c r="M491" s="475"/>
      <c r="N491" s="475"/>
      <c r="O491" s="475"/>
      <c r="P491" s="475"/>
      <c r="Q491" s="475"/>
      <c r="R491" s="475"/>
      <c r="S491" s="475"/>
      <c r="T491" s="475"/>
      <c r="U491" s="473"/>
      <c r="V491" s="475"/>
      <c r="W491" s="475"/>
      <c r="X491" s="1300">
        <f>X$477+X483</f>
        <v>0</v>
      </c>
      <c r="Y491" s="1300"/>
      <c r="Z491" s="1300"/>
      <c r="AA491" s="1300"/>
      <c r="AB491" s="1300"/>
      <c r="AC491" s="1300"/>
      <c r="AD491" t="s">
        <v>116</v>
      </c>
      <c r="AE491" s="1300">
        <f>AE$477+AE483</f>
        <v>0</v>
      </c>
      <c r="AF491" s="1300"/>
      <c r="AG491" s="1300"/>
      <c r="AH491" s="1300"/>
      <c r="AI491" s="1300"/>
      <c r="AJ491" s="1300"/>
      <c r="AK491" t="s">
        <v>116</v>
      </c>
      <c r="AV491" s="1300">
        <f>AV$477+AV483</f>
        <v>0</v>
      </c>
      <c r="AW491" s="1300"/>
      <c r="AX491" s="1300"/>
      <c r="AY491" s="1300"/>
      <c r="AZ491" s="1300"/>
      <c r="BA491" s="1300"/>
      <c r="BB491" t="s">
        <v>116</v>
      </c>
      <c r="BC491" s="1300">
        <f>BC$477+BC483</f>
        <v>0</v>
      </c>
      <c r="BD491" s="1300"/>
      <c r="BE491" s="1300"/>
      <c r="BF491" s="1300"/>
      <c r="BG491" s="1300"/>
      <c r="BH491" s="1300"/>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Ventilatori raffreddato /condensatore</v>
      </c>
      <c r="J492" s="475"/>
      <c r="K492" s="475"/>
      <c r="L492" s="475"/>
      <c r="M492" s="475"/>
      <c r="N492" s="475"/>
      <c r="O492" s="475"/>
      <c r="P492" s="475"/>
      <c r="Q492" s="475"/>
      <c r="R492" s="475"/>
      <c r="S492" s="475"/>
      <c r="T492" s="475"/>
      <c r="U492" s="473"/>
      <c r="V492" s="475"/>
      <c r="W492" s="475"/>
      <c r="X492" s="1300">
        <f>X$477+X484</f>
        <v>0</v>
      </c>
      <c r="Y492" s="1300"/>
      <c r="Z492" s="1300"/>
      <c r="AA492" s="1300"/>
      <c r="AB492" s="1300"/>
      <c r="AC492" s="1300"/>
      <c r="AD492" t="s">
        <v>116</v>
      </c>
      <c r="AE492" s="1300">
        <f>AE$477+AE484</f>
        <v>0</v>
      </c>
      <c r="AF492" s="1300"/>
      <c r="AG492" s="1300"/>
      <c r="AH492" s="1300"/>
      <c r="AI492" s="1300"/>
      <c r="AJ492" s="1300"/>
      <c r="AK492" t="s">
        <v>116</v>
      </c>
      <c r="AV492" s="1300">
        <f>AV$477+AV484</f>
        <v>0</v>
      </c>
      <c r="AW492" s="1300"/>
      <c r="AX492" s="1300"/>
      <c r="AY492" s="1300"/>
      <c r="AZ492" s="1300"/>
      <c r="BA492" s="1300"/>
      <c r="BB492" t="s">
        <v>116</v>
      </c>
      <c r="BC492" s="1300">
        <f>BC$477+BC484</f>
        <v>0</v>
      </c>
      <c r="BD492" s="1300"/>
      <c r="BE492" s="1300"/>
      <c r="BF492" s="1300"/>
      <c r="BG492" s="1300"/>
      <c r="BH492" s="1300"/>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300">
        <f t="shared" ref="X493" si="99">X$477+X485</f>
        <v>0</v>
      </c>
      <c r="Y493" s="1300"/>
      <c r="Z493" s="1300"/>
      <c r="AA493" s="1300"/>
      <c r="AB493" s="1300"/>
      <c r="AC493" s="1300"/>
      <c r="AD493" t="s">
        <v>116</v>
      </c>
      <c r="AE493" s="1300">
        <f t="shared" ref="AE493" si="100">AE$477+AE485</f>
        <v>0</v>
      </c>
      <c r="AF493" s="1300"/>
      <c r="AG493" s="1300"/>
      <c r="AH493" s="1300"/>
      <c r="AI493" s="1300"/>
      <c r="AJ493" s="1300"/>
      <c r="AK493" t="s">
        <v>116</v>
      </c>
      <c r="AV493" s="1300">
        <f t="shared" ref="AV493" si="101">AV$477+AV485</f>
        <v>0</v>
      </c>
      <c r="AW493" s="1300"/>
      <c r="AX493" s="1300"/>
      <c r="AY493" s="1300"/>
      <c r="AZ493" s="1300"/>
      <c r="BA493" s="1300"/>
      <c r="BB493" t="s">
        <v>116</v>
      </c>
      <c r="BC493" s="1300">
        <f t="shared" ref="BC493" si="102">BC$477+BC485</f>
        <v>0</v>
      </c>
      <c r="BD493" s="1300"/>
      <c r="BE493" s="1300"/>
      <c r="BF493" s="1300"/>
      <c r="BG493" s="1300"/>
      <c r="BH493" s="1300"/>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300">
        <f>X486</f>
        <v>0</v>
      </c>
      <c r="Y494" s="1300"/>
      <c r="Z494" s="1300"/>
      <c r="AA494" s="1300"/>
      <c r="AB494" s="1300"/>
      <c r="AC494" s="1300"/>
      <c r="AD494" t="s">
        <v>116</v>
      </c>
      <c r="AE494" s="1300">
        <f>AE486</f>
        <v>0</v>
      </c>
      <c r="AF494" s="1300"/>
      <c r="AG494" s="1300"/>
      <c r="AH494" s="1300"/>
      <c r="AI494" s="1300"/>
      <c r="AJ494" s="1300"/>
      <c r="AK494" t="s">
        <v>116</v>
      </c>
      <c r="AV494" s="1300">
        <f>AV486</f>
        <v>0</v>
      </c>
      <c r="AW494" s="1300"/>
      <c r="AX494" s="1300"/>
      <c r="AY494" s="1300"/>
      <c r="AZ494" s="1300"/>
      <c r="BA494" s="1300"/>
      <c r="BB494" t="s">
        <v>116</v>
      </c>
      <c r="BC494" s="1300">
        <f>BC486</f>
        <v>0</v>
      </c>
      <c r="BD494" s="1300"/>
      <c r="BE494" s="1300"/>
      <c r="BF494" s="1300"/>
      <c r="BG494" s="1300"/>
      <c r="BH494" s="1300"/>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77">
        <v>-0.05</v>
      </c>
      <c r="J505" s="1577"/>
      <c r="K505" s="1577"/>
      <c r="L505" s="818"/>
      <c r="M505" s="1577">
        <f>I506</f>
        <v>-0.2</v>
      </c>
      <c r="N505" s="1577"/>
      <c r="O505" s="1577"/>
      <c r="P505" s="819"/>
      <c r="Q505" s="819"/>
      <c r="R505" s="819"/>
      <c r="S505" s="819"/>
      <c r="T505" s="819"/>
      <c r="U505" s="819"/>
      <c r="V505" s="819"/>
      <c r="W505" s="819"/>
      <c r="X505" s="1578" t="str">
        <f>X!$C$279</f>
        <v xml:space="preserve">Il progettista ha calcolato meno ore di esercizio a pieno regime rispetto ai valori standard previsti per questo uso. Quindi il consumo energetico stimato è inferiore. </v>
      </c>
      <c r="Y505" s="1579"/>
      <c r="Z505" s="1579"/>
      <c r="AA505" s="1579"/>
      <c r="AB505" s="1579"/>
      <c r="AC505" s="1579"/>
      <c r="AD505" s="1579"/>
      <c r="AE505" s="1579"/>
      <c r="AF505" s="1579"/>
      <c r="AG505" s="1579"/>
      <c r="AH505" s="1579"/>
      <c r="AI505" s="1579"/>
      <c r="AJ505" s="1579"/>
      <c r="AK505" s="1579"/>
      <c r="AL505" s="1579"/>
      <c r="AM505" s="1579"/>
      <c r="AN505" s="1579"/>
      <c r="AO505" s="1579"/>
      <c r="AP505" s="1579"/>
      <c r="AQ505" s="820"/>
      <c r="AR505" s="821"/>
      <c r="AS505" s="821"/>
      <c r="AT505" s="821"/>
      <c r="AU505" s="821"/>
      <c r="AV505" s="1578" t="str">
        <f>X!$C$281</f>
        <v>Chiarire con il progettista perché ha scelto queste ore a pieno regime.</v>
      </c>
      <c r="AW505" s="1579"/>
      <c r="AX505" s="1579"/>
      <c r="AY505" s="1579"/>
      <c r="AZ505" s="1579"/>
      <c r="BA505" s="1579"/>
      <c r="BB505" s="1579"/>
      <c r="BC505" s="1579"/>
      <c r="BD505" s="1579"/>
      <c r="BE505" s="1579"/>
      <c r="BF505" s="1579"/>
      <c r="BG505" s="1579"/>
      <c r="BH505" s="1579"/>
      <c r="BI505" s="1579"/>
      <c r="BJ505" s="1579"/>
      <c r="BK505" s="1579"/>
      <c r="BL505" s="1579"/>
      <c r="BM505" s="1579"/>
      <c r="BN505" s="1579"/>
    </row>
    <row r="506" spans="8:153" s="782" customFormat="1" ht="45" hidden="1" customHeight="1" outlineLevel="1" x14ac:dyDescent="0.15">
      <c r="H506" s="646"/>
      <c r="I506" s="1577">
        <v>-0.2</v>
      </c>
      <c r="J506" s="1577"/>
      <c r="K506" s="1577"/>
      <c r="L506" s="818"/>
      <c r="M506" s="1577"/>
      <c r="N506" s="1577"/>
      <c r="O506" s="1577"/>
      <c r="P506" s="819"/>
      <c r="Q506" s="819"/>
      <c r="R506" s="819"/>
      <c r="S506" s="819"/>
      <c r="T506" s="819"/>
      <c r="U506" s="819"/>
      <c r="V506" s="819"/>
      <c r="W506" s="819"/>
      <c r="X506" s="1578" t="str">
        <f>X!$C$280</f>
        <v>Il progettista ha calcolato molte meno ore di esercizio a pieno regime rispetto ai valori standard previsti per questo uso. Quindi il consumo energetico stimato è inferiore.</v>
      </c>
      <c r="Y506" s="1579"/>
      <c r="Z506" s="1579"/>
      <c r="AA506" s="1579"/>
      <c r="AB506" s="1579"/>
      <c r="AC506" s="1579"/>
      <c r="AD506" s="1579"/>
      <c r="AE506" s="1579"/>
      <c r="AF506" s="1579"/>
      <c r="AG506" s="1579"/>
      <c r="AH506" s="1579"/>
      <c r="AI506" s="1579"/>
      <c r="AJ506" s="1579"/>
      <c r="AK506" s="1579"/>
      <c r="AL506" s="1579"/>
      <c r="AM506" s="1579"/>
      <c r="AN506" s="1579"/>
      <c r="AO506" s="1579"/>
      <c r="AP506" s="1579"/>
      <c r="AQ506" s="820"/>
      <c r="AR506" s="821"/>
      <c r="AS506" s="821"/>
      <c r="AT506" s="821"/>
      <c r="AU506" s="821"/>
      <c r="AV506" s="1578" t="str">
        <f>X!$C$281</f>
        <v>Chiarire con il progettista perché ha scelto queste ore a pieno regime.</v>
      </c>
      <c r="AW506" s="1579"/>
      <c r="AX506" s="1579"/>
      <c r="AY506" s="1579"/>
      <c r="AZ506" s="1579"/>
      <c r="BA506" s="1579"/>
      <c r="BB506" s="1579"/>
      <c r="BC506" s="1579"/>
      <c r="BD506" s="1579"/>
      <c r="BE506" s="1579"/>
      <c r="BF506" s="1579"/>
      <c r="BG506" s="1579"/>
      <c r="BH506" s="1579"/>
      <c r="BI506" s="1579"/>
      <c r="BJ506" s="1579"/>
      <c r="BK506" s="1579"/>
      <c r="BL506" s="1579"/>
      <c r="BM506" s="1579"/>
      <c r="BN506" s="1579"/>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31" t="s">
        <v>94</v>
      </c>
      <c r="AA513" s="1531"/>
      <c r="AB513" s="1531"/>
      <c r="AD513" s="1535" t="s">
        <v>97</v>
      </c>
      <c r="AE513" s="1535"/>
      <c r="AF513" s="1535"/>
      <c r="AH513" s="1536" t="s">
        <v>98</v>
      </c>
      <c r="AI513" s="1536"/>
      <c r="AJ513" s="1536"/>
      <c r="AL513" s="1536" t="s">
        <v>99</v>
      </c>
      <c r="AM513" s="1536"/>
      <c r="AN513" s="1536"/>
      <c r="AP513" s="1536" t="s">
        <v>101</v>
      </c>
      <c r="AQ513" s="1536"/>
      <c r="AR513" s="1536"/>
      <c r="AS513" s="1536"/>
      <c r="AT513" s="288"/>
      <c r="AX513" s="1531" t="s">
        <v>94</v>
      </c>
      <c r="AY513" s="1531"/>
      <c r="AZ513" s="1531"/>
      <c r="BB513" s="1535" t="s">
        <v>97</v>
      </c>
      <c r="BC513" s="1535"/>
      <c r="BD513" s="1535"/>
      <c r="BF513" s="1536" t="s">
        <v>98</v>
      </c>
      <c r="BG513" s="1536"/>
      <c r="BH513" s="1536"/>
      <c r="BJ513" s="1536" t="s">
        <v>99</v>
      </c>
      <c r="BK513" s="1536"/>
      <c r="BL513" s="1536"/>
      <c r="BN513" s="1536" t="s">
        <v>101</v>
      </c>
      <c r="BO513" s="1536"/>
      <c r="BP513" s="1536"/>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Pompe circolazione caldo</v>
      </c>
      <c r="I516" s="823"/>
      <c r="J516" s="823"/>
      <c r="K516" s="823"/>
      <c r="L516" s="823"/>
      <c r="M516" s="823"/>
      <c r="N516" s="823"/>
      <c r="O516" s="823"/>
      <c r="P516" s="823"/>
      <c r="Q516" s="823"/>
      <c r="R516" s="823"/>
      <c r="S516" s="823"/>
      <c r="T516" s="823"/>
      <c r="U516" s="823"/>
      <c r="V516" s="823"/>
      <c r="W516" s="823"/>
      <c r="X516" s="823"/>
      <c r="Y516" s="823"/>
      <c r="Z516" s="1518" t="s">
        <v>94</v>
      </c>
      <c r="AA516" s="1518"/>
      <c r="AB516" s="1518"/>
      <c r="AD516" s="1518" t="s">
        <v>97</v>
      </c>
      <c r="AE516" s="1518"/>
      <c r="AF516" s="1518"/>
      <c r="AH516" s="1518" t="s">
        <v>98</v>
      </c>
      <c r="AI516" s="1518"/>
      <c r="AJ516" s="1518"/>
      <c r="AL516" s="1518" t="s">
        <v>99</v>
      </c>
      <c r="AM516" s="1518"/>
      <c r="AN516" s="1518"/>
      <c r="AO516" s="817"/>
      <c r="AP516" s="817"/>
      <c r="AQ516" s="817"/>
      <c r="AR516" s="817"/>
      <c r="AS516" s="817"/>
      <c r="AT516" s="817"/>
      <c r="AU516" s="817"/>
      <c r="AV516" s="817"/>
      <c r="AW516" s="817"/>
      <c r="AX516" s="1518" t="s">
        <v>94</v>
      </c>
      <c r="AY516" s="1518"/>
      <c r="AZ516" s="1518"/>
      <c r="BB516" s="1518" t="s">
        <v>97</v>
      </c>
      <c r="BC516" s="1518"/>
      <c r="BD516" s="1518"/>
      <c r="BF516" s="1518" t="s">
        <v>98</v>
      </c>
      <c r="BG516" s="1518"/>
      <c r="BH516" s="1518"/>
      <c r="BJ516" s="1518" t="s">
        <v>99</v>
      </c>
      <c r="BK516" s="1518"/>
      <c r="BL516" s="1518"/>
      <c r="BM516" s="817"/>
      <c r="BN516" s="817"/>
      <c r="BO516" s="817"/>
      <c r="BP516" s="817"/>
    </row>
    <row r="517" spans="8:68" s="201" customFormat="1" ht="17" hidden="1" customHeight="1" outlineLevel="1" x14ac:dyDescent="0.15">
      <c r="H517" s="789"/>
      <c r="I517" s="824" t="str">
        <f>X!$C$82</f>
        <v>acceso/spento</v>
      </c>
      <c r="J517" s="823"/>
      <c r="K517" s="823"/>
      <c r="L517" s="823"/>
      <c r="M517" s="823"/>
      <c r="N517" s="823"/>
      <c r="O517" s="823"/>
      <c r="P517" s="823"/>
      <c r="Q517" s="823"/>
      <c r="R517" s="823"/>
      <c r="S517" s="823"/>
      <c r="T517" s="823"/>
      <c r="U517" s="823"/>
      <c r="V517" s="823"/>
      <c r="W517" s="823"/>
      <c r="X517" s="823"/>
      <c r="Y517" s="823"/>
      <c r="Z517" s="1518">
        <v>0</v>
      </c>
      <c r="AA517" s="1518"/>
      <c r="AB517" s="1518"/>
      <c r="AD517" s="1518">
        <v>0</v>
      </c>
      <c r="AE517" s="1518"/>
      <c r="AF517" s="1518"/>
      <c r="AH517" s="1518">
        <v>0</v>
      </c>
      <c r="AI517" s="1518"/>
      <c r="AJ517" s="1518"/>
      <c r="AL517" s="1518">
        <v>0</v>
      </c>
      <c r="AM517" s="1518"/>
      <c r="AN517" s="1518"/>
      <c r="AO517" s="817"/>
      <c r="AP517" s="817"/>
      <c r="AQ517" s="817"/>
      <c r="AR517" s="817"/>
      <c r="AS517" s="817"/>
      <c r="AT517" s="817"/>
      <c r="AU517" s="817"/>
      <c r="AV517" s="817"/>
      <c r="AW517" s="817"/>
      <c r="AX517" s="1518">
        <f>Z517</f>
        <v>0</v>
      </c>
      <c r="AY517" s="1518"/>
      <c r="AZ517" s="1518"/>
      <c r="BB517" s="1518">
        <f>AD517</f>
        <v>0</v>
      </c>
      <c r="BC517" s="1518"/>
      <c r="BD517" s="1518"/>
      <c r="BF517" s="1518">
        <f>AH517</f>
        <v>0</v>
      </c>
      <c r="BG517" s="1518"/>
      <c r="BH517" s="1518"/>
      <c r="BJ517" s="1518">
        <f>AL517</f>
        <v>0</v>
      </c>
      <c r="BK517" s="1518"/>
      <c r="BL517" s="1518"/>
      <c r="BM517" s="817"/>
      <c r="BN517" s="817"/>
      <c r="BO517" s="817"/>
      <c r="BP517" s="817"/>
    </row>
    <row r="518" spans="8:68" s="201" customFormat="1" ht="17" hidden="1" customHeight="1" outlineLevel="1" x14ac:dyDescent="0.15">
      <c r="H518" s="789"/>
      <c r="I518" s="824" t="str">
        <f>X!$C$42</f>
        <v>comando in base al fabbisogno (FU)</v>
      </c>
      <c r="J518" s="823"/>
      <c r="K518" s="823"/>
      <c r="L518" s="823"/>
      <c r="M518" s="823"/>
      <c r="N518" s="823"/>
      <c r="O518" s="823"/>
      <c r="P518" s="823"/>
      <c r="Q518" s="823"/>
      <c r="R518" s="823"/>
      <c r="S518" s="823"/>
      <c r="T518" s="823"/>
      <c r="U518" s="823"/>
      <c r="V518" s="823"/>
      <c r="W518" s="823"/>
      <c r="X518" s="823"/>
      <c r="Y518" s="823"/>
      <c r="Z518" s="1518">
        <v>0.3</v>
      </c>
      <c r="AA518" s="1518"/>
      <c r="AB518" s="1518"/>
      <c r="AD518" s="1518">
        <v>0</v>
      </c>
      <c r="AE518" s="1518"/>
      <c r="AF518" s="1518"/>
      <c r="AH518" s="1518">
        <v>0.3</v>
      </c>
      <c r="AI518" s="1518"/>
      <c r="AJ518" s="1518"/>
      <c r="AL518" s="1518">
        <v>0.5</v>
      </c>
      <c r="AM518" s="1518"/>
      <c r="AN518" s="1518"/>
      <c r="AO518" s="817"/>
      <c r="AP518" s="817"/>
      <c r="AQ518" s="817"/>
      <c r="AR518" s="817"/>
      <c r="AS518" s="817"/>
      <c r="AT518" s="817"/>
      <c r="AU518" s="817"/>
      <c r="AV518" s="817"/>
      <c r="AW518" s="817"/>
      <c r="AX518" s="1518">
        <f>Z518</f>
        <v>0.3</v>
      </c>
      <c r="AY518" s="1518"/>
      <c r="AZ518" s="1518"/>
      <c r="BB518" s="1518">
        <f>AD518</f>
        <v>0</v>
      </c>
      <c r="BC518" s="1518"/>
      <c r="BD518" s="1518"/>
      <c r="BF518" s="1518">
        <f>AH518</f>
        <v>0.3</v>
      </c>
      <c r="BG518" s="1518"/>
      <c r="BH518" s="1518"/>
      <c r="BJ518" s="1518">
        <f>AL518</f>
        <v>0.5</v>
      </c>
      <c r="BK518" s="1518"/>
      <c r="BL518" s="1518"/>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6">
        <f>AB84</f>
        <v>0</v>
      </c>
      <c r="AA520" s="1526"/>
      <c r="AB520" s="1526"/>
      <c r="AC520" s="1526"/>
      <c r="AD520" s="1526"/>
      <c r="AE520" s="1526"/>
      <c r="AF520" s="1526"/>
      <c r="AG520" s="1526"/>
      <c r="AH520" s="1526"/>
      <c r="AI520" s="1526"/>
      <c r="AJ520" s="1526"/>
      <c r="AK520" s="1526"/>
      <c r="AL520" s="1526"/>
      <c r="AM520" s="1526"/>
      <c r="AN520" s="1526"/>
      <c r="AO520" s="817"/>
      <c r="AP520" s="817"/>
      <c r="AQ520" s="817"/>
      <c r="AR520" s="817"/>
      <c r="AS520" s="817"/>
      <c r="AT520" s="817"/>
      <c r="AU520" s="817"/>
      <c r="AV520" s="817"/>
      <c r="AW520" s="817"/>
      <c r="AX520" s="1526">
        <f>AZ84</f>
        <v>0</v>
      </c>
      <c r="AY520" s="1526"/>
      <c r="AZ520" s="1526"/>
      <c r="BA520" s="1526"/>
      <c r="BB520" s="1526"/>
      <c r="BC520" s="1526"/>
      <c r="BD520" s="1526"/>
      <c r="BE520" s="1526"/>
      <c r="BF520" s="1526"/>
      <c r="BG520" s="1526"/>
      <c r="BH520" s="1526"/>
      <c r="BI520" s="1526"/>
      <c r="BJ520" s="1526"/>
      <c r="BK520" s="1526"/>
      <c r="BL520" s="1526"/>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7">
        <f>IF($I518=$Z520,Z518,Z517)</f>
        <v>0</v>
      </c>
      <c r="AA521" s="1527"/>
      <c r="AB521" s="1527"/>
      <c r="AC521" s="201"/>
      <c r="AD521" s="1527">
        <f>IF($I518=$Z520,AD518,AD517)</f>
        <v>0</v>
      </c>
      <c r="AE521" s="1527"/>
      <c r="AF521" s="1527"/>
      <c r="AG521" s="201"/>
      <c r="AH521" s="1527">
        <f>IF($I518=$Z520,AH518,AH517)</f>
        <v>0</v>
      </c>
      <c r="AI521" s="1527"/>
      <c r="AJ521" s="1527"/>
      <c r="AK521" s="201"/>
      <c r="AL521" s="1527">
        <f>IF($I518=$Z520,AL518,AL517)</f>
        <v>0</v>
      </c>
      <c r="AM521" s="1527"/>
      <c r="AN521" s="1527"/>
      <c r="AO521" s="817"/>
      <c r="AP521" s="1524">
        <f>IF(AP522=0,0,1-AP523/AP522)</f>
        <v>0</v>
      </c>
      <c r="AQ521" s="1524"/>
      <c r="AR521" s="1524"/>
      <c r="AS521" s="1524"/>
      <c r="AT521" s="827"/>
      <c r="AU521" s="817"/>
      <c r="AV521" s="817"/>
      <c r="AW521" s="817"/>
      <c r="AX521" s="1527">
        <f>IF($I518=$AX520,AX518,AX517)</f>
        <v>0</v>
      </c>
      <c r="AY521" s="1527"/>
      <c r="AZ521" s="1527"/>
      <c r="BA521" s="201"/>
      <c r="BB521" s="1527">
        <f>IF($I518=$AX520,BB518,BB517)</f>
        <v>0</v>
      </c>
      <c r="BC521" s="1527"/>
      <c r="BD521" s="1527"/>
      <c r="BE521" s="201"/>
      <c r="BF521" s="1527">
        <f>IF($I518=$AX520,BF518,BF517)</f>
        <v>0</v>
      </c>
      <c r="BG521" s="1527"/>
      <c r="BH521" s="1527"/>
      <c r="BI521" s="201"/>
      <c r="BJ521" s="1527">
        <f>IF($I518=$AX520,BJ518,BJ517)</f>
        <v>0</v>
      </c>
      <c r="BK521" s="1527"/>
      <c r="BL521" s="1527"/>
      <c r="BM521" s="817"/>
      <c r="BN521" s="1524">
        <f>IF(BN522=0,0,1-BN523/BN522)</f>
        <v>0</v>
      </c>
      <c r="BO521" s="1524"/>
      <c r="BP521" s="1524"/>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19">
        <f>X139</f>
        <v>0</v>
      </c>
      <c r="AA522" s="1519"/>
      <c r="AB522" s="1519"/>
      <c r="AD522" s="1519">
        <f>AB139</f>
        <v>0</v>
      </c>
      <c r="AE522" s="1519"/>
      <c r="AF522" s="1519"/>
      <c r="AH522" s="1519">
        <f>AF139</f>
        <v>0</v>
      </c>
      <c r="AI522" s="1519"/>
      <c r="AJ522" s="1519"/>
      <c r="AL522" s="1519">
        <f>AJ139</f>
        <v>0</v>
      </c>
      <c r="AM522" s="1519"/>
      <c r="AN522" s="1519"/>
      <c r="AO522" s="817"/>
      <c r="AP522" s="1519">
        <f>SUM(Z522:AN522)</f>
        <v>0</v>
      </c>
      <c r="AQ522" s="1519"/>
      <c r="AR522" s="1519"/>
      <c r="AS522" s="1519"/>
      <c r="AT522" s="828"/>
      <c r="AU522" s="817"/>
      <c r="AV522" s="817"/>
      <c r="AW522" s="817"/>
      <c r="AX522" s="1519">
        <f>AV139</f>
        <v>0</v>
      </c>
      <c r="AY522" s="1519"/>
      <c r="AZ522" s="1519"/>
      <c r="BB522" s="1519">
        <f>AZ139</f>
        <v>0</v>
      </c>
      <c r="BC522" s="1519"/>
      <c r="BD522" s="1519"/>
      <c r="BF522" s="1519">
        <f>BD139</f>
        <v>0</v>
      </c>
      <c r="BG522" s="1519"/>
      <c r="BH522" s="1519"/>
      <c r="BJ522" s="1519">
        <f>BH139</f>
        <v>0</v>
      </c>
      <c r="BK522" s="1519"/>
      <c r="BL522" s="1519"/>
      <c r="BM522" s="817"/>
      <c r="BN522" s="1519">
        <f>SUM(AX522:BL522)</f>
        <v>0</v>
      </c>
      <c r="BO522" s="1519"/>
      <c r="BP522" s="151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5">
        <f>AX522-AX521*AX522</f>
        <v>0</v>
      </c>
      <c r="AY523" s="1525"/>
      <c r="AZ523" s="1525"/>
      <c r="BA523" s="831"/>
      <c r="BB523" s="1525">
        <f>BB522-BB521*BB522</f>
        <v>0</v>
      </c>
      <c r="BC523" s="1525"/>
      <c r="BD523" s="1525"/>
      <c r="BE523" s="831"/>
      <c r="BF523" s="1525">
        <f>BF522-BF521*BF522</f>
        <v>0</v>
      </c>
      <c r="BG523" s="1525"/>
      <c r="BH523" s="1525"/>
      <c r="BI523" s="831"/>
      <c r="BJ523" s="1525">
        <f>BJ522-BJ521*BJ522</f>
        <v>0</v>
      </c>
      <c r="BK523" s="1525"/>
      <c r="BL523" s="1525"/>
      <c r="BN523" s="1525">
        <f>SUM(AX523:BL523)</f>
        <v>0</v>
      </c>
      <c r="BO523" s="1525"/>
      <c r="BP523" s="1525"/>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Pompe nebulizzazione</v>
      </c>
      <c r="I526" s="823"/>
      <c r="J526" s="823"/>
      <c r="K526" s="823"/>
      <c r="L526" s="823"/>
      <c r="M526" s="823"/>
      <c r="N526" s="823"/>
      <c r="O526" s="823"/>
      <c r="P526" s="823"/>
      <c r="Q526" s="823"/>
      <c r="R526" s="823"/>
      <c r="S526" s="823"/>
      <c r="T526" s="823"/>
      <c r="U526" s="823"/>
      <c r="V526" s="823"/>
      <c r="W526" s="823"/>
      <c r="X526" s="823"/>
      <c r="Y526" s="823"/>
      <c r="Z526" s="1518" t="s">
        <v>94</v>
      </c>
      <c r="AA526" s="1518"/>
      <c r="AB526" s="1518"/>
      <c r="AD526" s="1518" t="s">
        <v>97</v>
      </c>
      <c r="AE526" s="1518"/>
      <c r="AF526" s="1518"/>
      <c r="AH526" s="1518" t="s">
        <v>98</v>
      </c>
      <c r="AI526" s="1518"/>
      <c r="AJ526" s="1518"/>
      <c r="AL526" s="1518" t="s">
        <v>99</v>
      </c>
      <c r="AM526" s="1518"/>
      <c r="AN526" s="1518"/>
      <c r="AO526" s="817"/>
      <c r="AP526" s="817"/>
      <c r="AQ526" s="817"/>
      <c r="AR526" s="817"/>
      <c r="AS526" s="817"/>
      <c r="AT526" s="817"/>
      <c r="AU526" s="817"/>
      <c r="AV526" s="817"/>
      <c r="AW526" s="817"/>
      <c r="AX526" s="1518" t="s">
        <v>94</v>
      </c>
      <c r="AY526" s="1518"/>
      <c r="AZ526" s="1518"/>
      <c r="BB526" s="1518" t="s">
        <v>97</v>
      </c>
      <c r="BC526" s="1518"/>
      <c r="BD526" s="1518"/>
      <c r="BF526" s="1518" t="s">
        <v>98</v>
      </c>
      <c r="BG526" s="1518"/>
      <c r="BH526" s="1518"/>
      <c r="BJ526" s="1518" t="s">
        <v>99</v>
      </c>
      <c r="BK526" s="1518"/>
      <c r="BL526" s="1518"/>
      <c r="BM526" s="817"/>
      <c r="BN526" s="817"/>
      <c r="BO526" s="817"/>
      <c r="BP526" s="817"/>
    </row>
    <row r="527" spans="8:68" s="201" customFormat="1" ht="17" hidden="1" customHeight="1" outlineLevel="1" x14ac:dyDescent="0.15">
      <c r="H527" s="789"/>
      <c r="I527" s="823" t="str">
        <f>I517</f>
        <v>acceso/spento</v>
      </c>
      <c r="J527" s="823"/>
      <c r="K527" s="823"/>
      <c r="L527" s="823"/>
      <c r="M527" s="823"/>
      <c r="N527" s="823"/>
      <c r="O527" s="823"/>
      <c r="P527" s="823"/>
      <c r="Q527" s="823"/>
      <c r="R527" s="823"/>
      <c r="S527" s="823"/>
      <c r="T527" s="823"/>
      <c r="U527" s="823"/>
      <c r="V527" s="823"/>
      <c r="W527" s="823"/>
      <c r="X527" s="823"/>
      <c r="Y527" s="823"/>
      <c r="Z527" s="1518">
        <v>0</v>
      </c>
      <c r="AA527" s="1518"/>
      <c r="AB527" s="1518"/>
      <c r="AD527" s="1518">
        <v>0</v>
      </c>
      <c r="AE527" s="1518"/>
      <c r="AF527" s="1518"/>
      <c r="AH527" s="1518">
        <v>0</v>
      </c>
      <c r="AI527" s="1518"/>
      <c r="AJ527" s="1518"/>
      <c r="AL527" s="1518">
        <v>0</v>
      </c>
      <c r="AM527" s="1518"/>
      <c r="AN527" s="1518"/>
      <c r="AO527" s="817"/>
      <c r="AP527" s="817"/>
      <c r="AQ527" s="817"/>
      <c r="AR527" s="817"/>
      <c r="AS527" s="817"/>
      <c r="AT527" s="817"/>
      <c r="AU527" s="817"/>
      <c r="AV527" s="817"/>
      <c r="AW527" s="817"/>
      <c r="AX527" s="1518">
        <f>Z527</f>
        <v>0</v>
      </c>
      <c r="AY527" s="1518"/>
      <c r="AZ527" s="1518"/>
      <c r="BB527" s="1518">
        <f>AD527</f>
        <v>0</v>
      </c>
      <c r="BC527" s="1518"/>
      <c r="BD527" s="1518"/>
      <c r="BF527" s="1518">
        <f>AH527</f>
        <v>0</v>
      </c>
      <c r="BG527" s="1518"/>
      <c r="BH527" s="1518"/>
      <c r="BJ527" s="1518">
        <f>AL527</f>
        <v>0</v>
      </c>
      <c r="BK527" s="1518"/>
      <c r="BL527" s="1518"/>
      <c r="BM527" s="817"/>
      <c r="BN527" s="817"/>
      <c r="BO527" s="817"/>
      <c r="BP527" s="817"/>
    </row>
    <row r="528" spans="8:68" s="201" customFormat="1" ht="17" hidden="1" customHeight="1" outlineLevel="1" x14ac:dyDescent="0.15">
      <c r="H528" s="789"/>
      <c r="I528" s="823" t="str">
        <f>I518</f>
        <v>comando in base al fabbisogno (FU)</v>
      </c>
      <c r="J528" s="823"/>
      <c r="K528" s="823"/>
      <c r="L528" s="823"/>
      <c r="M528" s="823"/>
      <c r="N528" s="823"/>
      <c r="O528" s="823"/>
      <c r="P528" s="823"/>
      <c r="Q528" s="823"/>
      <c r="R528" s="823"/>
      <c r="S528" s="823"/>
      <c r="T528" s="823"/>
      <c r="U528" s="823"/>
      <c r="V528" s="823"/>
      <c r="W528" s="823"/>
      <c r="X528" s="823"/>
      <c r="Y528" s="823"/>
      <c r="Z528" s="1518">
        <v>0.3</v>
      </c>
      <c r="AA528" s="1518"/>
      <c r="AB528" s="1518"/>
      <c r="AD528" s="1518">
        <v>0</v>
      </c>
      <c r="AE528" s="1518"/>
      <c r="AF528" s="1518"/>
      <c r="AH528" s="1518">
        <v>0.3</v>
      </c>
      <c r="AI528" s="1518"/>
      <c r="AJ528" s="1518"/>
      <c r="AL528" s="1518">
        <v>0.5</v>
      </c>
      <c r="AM528" s="1518"/>
      <c r="AN528" s="1518"/>
      <c r="AO528" s="817"/>
      <c r="AP528" s="817"/>
      <c r="AQ528" s="817"/>
      <c r="AR528" s="817"/>
      <c r="AS528" s="817"/>
      <c r="AT528" s="817"/>
      <c r="AU528" s="817"/>
      <c r="AV528" s="817"/>
      <c r="AW528" s="817"/>
      <c r="AX528" s="1518">
        <f>Z528</f>
        <v>0.3</v>
      </c>
      <c r="AY528" s="1518"/>
      <c r="AZ528" s="1518"/>
      <c r="BB528" s="1518">
        <f>AD528</f>
        <v>0</v>
      </c>
      <c r="BC528" s="1518"/>
      <c r="BD528" s="1518"/>
      <c r="BF528" s="1518">
        <f>AH528</f>
        <v>0.3</v>
      </c>
      <c r="BG528" s="1518"/>
      <c r="BH528" s="1518"/>
      <c r="BJ528" s="1518">
        <f>AL528</f>
        <v>0.5</v>
      </c>
      <c r="BK528" s="1518"/>
      <c r="BL528" s="1518"/>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6">
        <f>AB86</f>
        <v>0</v>
      </c>
      <c r="AA530" s="1526"/>
      <c r="AB530" s="1526"/>
      <c r="AC530" s="1526"/>
      <c r="AD530" s="1526"/>
      <c r="AE530" s="1526"/>
      <c r="AF530" s="1526"/>
      <c r="AG530" s="1526"/>
      <c r="AH530" s="1526"/>
      <c r="AI530" s="1526"/>
      <c r="AJ530" s="1526"/>
      <c r="AK530" s="1526"/>
      <c r="AL530" s="1526"/>
      <c r="AM530" s="1526"/>
      <c r="AN530" s="1526"/>
      <c r="AO530" s="817"/>
      <c r="AP530" s="817"/>
      <c r="AQ530" s="817"/>
      <c r="AR530" s="817"/>
      <c r="AS530" s="817"/>
      <c r="AT530" s="817"/>
      <c r="AU530" s="817"/>
      <c r="AV530" s="817"/>
      <c r="AW530" s="817"/>
      <c r="AX530" s="1526">
        <f>AZ86</f>
        <v>0</v>
      </c>
      <c r="AY530" s="1526"/>
      <c r="AZ530" s="1526"/>
      <c r="BA530" s="1526"/>
      <c r="BB530" s="1526"/>
      <c r="BC530" s="1526"/>
      <c r="BD530" s="1526"/>
      <c r="BE530" s="1526"/>
      <c r="BF530" s="1526"/>
      <c r="BG530" s="1526"/>
      <c r="BH530" s="1526"/>
      <c r="BI530" s="1526"/>
      <c r="BJ530" s="1526"/>
      <c r="BK530" s="1526"/>
      <c r="BL530" s="1526"/>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7">
        <f>IF($I528=$Z530,Z528,Z527)</f>
        <v>0</v>
      </c>
      <c r="AA531" s="1527"/>
      <c r="AB531" s="1527"/>
      <c r="AC531" s="201"/>
      <c r="AD531" s="1527">
        <f>IF($I528=$Z530,AD528,AD527)</f>
        <v>0</v>
      </c>
      <c r="AE531" s="1527"/>
      <c r="AF531" s="1527"/>
      <c r="AG531" s="201"/>
      <c r="AH531" s="1527">
        <f>IF($I528=$Z530,AH528,AH527)</f>
        <v>0</v>
      </c>
      <c r="AI531" s="1527"/>
      <c r="AJ531" s="1527"/>
      <c r="AK531" s="201"/>
      <c r="AL531" s="1527">
        <f>IF($I528=$Z530,AL528,AL527)</f>
        <v>0</v>
      </c>
      <c r="AM531" s="1527"/>
      <c r="AN531" s="1527"/>
      <c r="AO531" s="817"/>
      <c r="AP531" s="1524">
        <f>IF(AP532=0,0,1-AP533/AP532)</f>
        <v>0</v>
      </c>
      <c r="AQ531" s="1524"/>
      <c r="AR531" s="1524"/>
      <c r="AS531" s="1524"/>
      <c r="AT531" s="827"/>
      <c r="AU531" s="817"/>
      <c r="AV531" s="817"/>
      <c r="AW531" s="817"/>
      <c r="AX531" s="1527">
        <f>IF($I528=$AX530,AX528,AX527)</f>
        <v>0</v>
      </c>
      <c r="AY531" s="1527"/>
      <c r="AZ531" s="1527"/>
      <c r="BA531" s="201"/>
      <c r="BB531" s="1527">
        <f>IF($I528=$AX530,BB528,BB527)</f>
        <v>0</v>
      </c>
      <c r="BC531" s="1527"/>
      <c r="BD531" s="1527"/>
      <c r="BE531" s="201"/>
      <c r="BF531" s="1527">
        <f>IF($I528=$AX530,BF528,BF527)</f>
        <v>0</v>
      </c>
      <c r="BG531" s="1527"/>
      <c r="BH531" s="1527"/>
      <c r="BI531" s="201"/>
      <c r="BJ531" s="1527">
        <f>IF($I528=$AX530,BJ528,BJ527)</f>
        <v>0</v>
      </c>
      <c r="BK531" s="1527"/>
      <c r="BL531" s="1527"/>
      <c r="BM531" s="817"/>
      <c r="BN531" s="1524">
        <f>IF(BN532=0,0,1-BN533/BN532)</f>
        <v>0</v>
      </c>
      <c r="BO531" s="1524"/>
      <c r="BP531" s="1524"/>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19">
        <f>Z$522</f>
        <v>0</v>
      </c>
      <c r="AA532" s="1519"/>
      <c r="AB532" s="1519"/>
      <c r="AD532" s="1519">
        <f>AD$522</f>
        <v>0</v>
      </c>
      <c r="AE532" s="1519"/>
      <c r="AF532" s="1519"/>
      <c r="AH532" s="1519">
        <f>AH$522</f>
        <v>0</v>
      </c>
      <c r="AI532" s="1519"/>
      <c r="AJ532" s="1519"/>
      <c r="AL532" s="1519">
        <f>AL$522</f>
        <v>0</v>
      </c>
      <c r="AM532" s="1519"/>
      <c r="AN532" s="1519"/>
      <c r="AO532" s="817"/>
      <c r="AP532" s="1519">
        <f>SUM(Z532:AN532)</f>
        <v>0</v>
      </c>
      <c r="AQ532" s="1519"/>
      <c r="AR532" s="1519"/>
      <c r="AS532" s="1519"/>
      <c r="AT532" s="828"/>
      <c r="AU532" s="817"/>
      <c r="AV532" s="817"/>
      <c r="AW532" s="817"/>
      <c r="AX532" s="1519">
        <f>AX$522</f>
        <v>0</v>
      </c>
      <c r="AY532" s="1519"/>
      <c r="AZ532" s="1519"/>
      <c r="BB532" s="1519">
        <f>BB$522</f>
        <v>0</v>
      </c>
      <c r="BC532" s="1519"/>
      <c r="BD532" s="1519"/>
      <c r="BF532" s="1519">
        <f>BF$522</f>
        <v>0</v>
      </c>
      <c r="BG532" s="1519"/>
      <c r="BH532" s="1519"/>
      <c r="BJ532" s="1519">
        <f>BJ$522</f>
        <v>0</v>
      </c>
      <c r="BK532" s="1519"/>
      <c r="BL532" s="1519"/>
      <c r="BM532" s="817"/>
      <c r="BN532" s="1519">
        <f>SUM(AX532:BL532)</f>
        <v>0</v>
      </c>
      <c r="BO532" s="1519"/>
      <c r="BP532" s="151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5">
        <f>AX532-AX531*AX532</f>
        <v>0</v>
      </c>
      <c r="AY533" s="1525"/>
      <c r="AZ533" s="1525"/>
      <c r="BA533" s="831"/>
      <c r="BB533" s="1525">
        <f>BB532-BB531*BB532</f>
        <v>0</v>
      </c>
      <c r="BC533" s="1525"/>
      <c r="BD533" s="1525"/>
      <c r="BE533" s="831"/>
      <c r="BF533" s="1525">
        <f>BF532-BF531*BF532</f>
        <v>0</v>
      </c>
      <c r="BG533" s="1525"/>
      <c r="BH533" s="1525"/>
      <c r="BI533" s="831"/>
      <c r="BJ533" s="1525">
        <f>BJ532-BJ531*BJ532</f>
        <v>0</v>
      </c>
      <c r="BK533" s="1525"/>
      <c r="BL533" s="1525"/>
      <c r="BN533" s="1525">
        <f>SUM(AX533:BL533)</f>
        <v>0</v>
      </c>
      <c r="BO533" s="1525"/>
      <c r="BP533" s="1525"/>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Ventilatori raffreddato /condensatore</v>
      </c>
      <c r="I536" s="823"/>
      <c r="J536" s="823"/>
      <c r="K536" s="823"/>
      <c r="L536" s="823"/>
      <c r="M536" s="823"/>
      <c r="N536" s="823"/>
      <c r="O536" s="823"/>
      <c r="P536" s="823"/>
      <c r="Q536" s="823"/>
      <c r="R536" s="823"/>
      <c r="S536" s="823"/>
      <c r="T536" s="823"/>
      <c r="U536" s="823"/>
      <c r="V536" s="823"/>
      <c r="W536" s="823"/>
      <c r="X536" s="823"/>
      <c r="Y536" s="823"/>
      <c r="Z536" s="1518" t="s">
        <v>94</v>
      </c>
      <c r="AA536" s="1518"/>
      <c r="AB536" s="1518"/>
      <c r="AD536" s="1518" t="s">
        <v>97</v>
      </c>
      <c r="AE536" s="1518"/>
      <c r="AF536" s="1518"/>
      <c r="AH536" s="1518" t="s">
        <v>98</v>
      </c>
      <c r="AI536" s="1518"/>
      <c r="AJ536" s="1518"/>
      <c r="AL536" s="1518" t="s">
        <v>99</v>
      </c>
      <c r="AM536" s="1518"/>
      <c r="AN536" s="1518"/>
      <c r="AO536" s="216"/>
      <c r="AP536" s="216"/>
      <c r="AQ536" s="216"/>
      <c r="AR536" s="216"/>
      <c r="AS536" s="216"/>
      <c r="AT536" s="216"/>
      <c r="AU536" s="827"/>
      <c r="AX536" s="1518" t="s">
        <v>94</v>
      </c>
      <c r="AY536" s="1518"/>
      <c r="AZ536" s="1518"/>
      <c r="BB536" s="1518" t="s">
        <v>97</v>
      </c>
      <c r="BC536" s="1518"/>
      <c r="BD536" s="1518"/>
      <c r="BF536" s="1518" t="s">
        <v>98</v>
      </c>
      <c r="BG536" s="1518"/>
      <c r="BH536" s="1518"/>
      <c r="BJ536" s="1518" t="s">
        <v>99</v>
      </c>
      <c r="BK536" s="1518"/>
      <c r="BL536" s="1518"/>
      <c r="BM536" s="817"/>
      <c r="BN536" s="817"/>
      <c r="BO536" s="817"/>
      <c r="BP536" s="817"/>
    </row>
    <row r="537" spans="8:68" s="201" customFormat="1" ht="17" hidden="1" customHeight="1" outlineLevel="1" x14ac:dyDescent="0.15">
      <c r="H537" s="789"/>
      <c r="I537" s="823" t="str">
        <f>I517</f>
        <v>acceso/spento</v>
      </c>
      <c r="J537" s="823"/>
      <c r="K537" s="823"/>
      <c r="L537" s="823"/>
      <c r="M537" s="823"/>
      <c r="N537" s="823"/>
      <c r="O537" s="823"/>
      <c r="P537" s="823"/>
      <c r="Q537" s="823"/>
      <c r="R537" s="823"/>
      <c r="S537" s="823"/>
      <c r="T537" s="823"/>
      <c r="U537" s="823"/>
      <c r="V537" s="823"/>
      <c r="W537" s="823"/>
      <c r="X537" s="823"/>
      <c r="Y537" s="823"/>
      <c r="Z537" s="1518">
        <v>0</v>
      </c>
      <c r="AA537" s="1518"/>
      <c r="AB537" s="1518"/>
      <c r="AD537" s="1518">
        <v>0</v>
      </c>
      <c r="AE537" s="1518"/>
      <c r="AF537" s="1518"/>
      <c r="AH537" s="1518">
        <v>0</v>
      </c>
      <c r="AI537" s="1518"/>
      <c r="AJ537" s="1518"/>
      <c r="AL537" s="1518">
        <v>0</v>
      </c>
      <c r="AM537" s="1518"/>
      <c r="AN537" s="1518"/>
      <c r="AO537" s="216"/>
      <c r="AP537" s="216"/>
      <c r="AQ537" s="216"/>
      <c r="AR537" s="216"/>
      <c r="AS537" s="216"/>
      <c r="AT537" s="216"/>
      <c r="AU537" s="827"/>
      <c r="AX537" s="1518">
        <f>Z537</f>
        <v>0</v>
      </c>
      <c r="AY537" s="1518"/>
      <c r="AZ537" s="1518"/>
      <c r="BB537" s="1518">
        <f>AD537</f>
        <v>0</v>
      </c>
      <c r="BC537" s="1518"/>
      <c r="BD537" s="1518"/>
      <c r="BF537" s="1518">
        <f>AH537</f>
        <v>0</v>
      </c>
      <c r="BG537" s="1518"/>
      <c r="BH537" s="1518"/>
      <c r="BJ537" s="1518">
        <f>AL537</f>
        <v>0</v>
      </c>
      <c r="BK537" s="1518"/>
      <c r="BL537" s="1518"/>
      <c r="BM537" s="817"/>
      <c r="BN537" s="817"/>
      <c r="BO537" s="817"/>
      <c r="BP537" s="817"/>
    </row>
    <row r="538" spans="8:68" s="201" customFormat="1" ht="17" hidden="1" customHeight="1" outlineLevel="1" x14ac:dyDescent="0.15">
      <c r="H538" s="789"/>
      <c r="I538" s="823" t="str">
        <f>I518</f>
        <v>comando in base al fabbisogno (FU)</v>
      </c>
      <c r="J538" s="823"/>
      <c r="K538" s="823"/>
      <c r="L538" s="823"/>
      <c r="M538" s="823"/>
      <c r="N538" s="823"/>
      <c r="O538" s="823"/>
      <c r="P538" s="823"/>
      <c r="Q538" s="823"/>
      <c r="R538" s="823"/>
      <c r="S538" s="823"/>
      <c r="T538" s="823"/>
      <c r="U538" s="823"/>
      <c r="V538" s="823"/>
      <c r="W538" s="823"/>
      <c r="X538" s="823"/>
      <c r="Y538" s="823"/>
      <c r="Z538" s="1518">
        <v>0.3</v>
      </c>
      <c r="AA538" s="1518"/>
      <c r="AB538" s="1518"/>
      <c r="AD538" s="1518">
        <v>0</v>
      </c>
      <c r="AE538" s="1518"/>
      <c r="AF538" s="1518"/>
      <c r="AH538" s="1518">
        <v>0.3</v>
      </c>
      <c r="AI538" s="1518"/>
      <c r="AJ538" s="1518"/>
      <c r="AL538" s="1518">
        <v>0.5</v>
      </c>
      <c r="AM538" s="1518"/>
      <c r="AN538" s="1518"/>
      <c r="AO538" s="216"/>
      <c r="AP538" s="216"/>
      <c r="AQ538" s="216"/>
      <c r="AR538" s="216"/>
      <c r="AS538" s="216"/>
      <c r="AT538" s="216"/>
      <c r="AU538" s="827"/>
      <c r="AX538" s="1518">
        <f>Z538</f>
        <v>0.3</v>
      </c>
      <c r="AY538" s="1518"/>
      <c r="AZ538" s="1518"/>
      <c r="BB538" s="1518">
        <f>AD538</f>
        <v>0</v>
      </c>
      <c r="BC538" s="1518"/>
      <c r="BD538" s="1518"/>
      <c r="BF538" s="1518">
        <f>AH538</f>
        <v>0.3</v>
      </c>
      <c r="BG538" s="1518"/>
      <c r="BH538" s="1518"/>
      <c r="BJ538" s="1518">
        <f>AL538</f>
        <v>0.5</v>
      </c>
      <c r="BK538" s="1518"/>
      <c r="BL538" s="1518"/>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6">
        <f>AB88</f>
        <v>0</v>
      </c>
      <c r="AA540" s="1526"/>
      <c r="AB540" s="1526"/>
      <c r="AC540" s="1526"/>
      <c r="AD540" s="1526"/>
      <c r="AE540" s="1526"/>
      <c r="AF540" s="1526"/>
      <c r="AG540" s="1526"/>
      <c r="AH540" s="1526"/>
      <c r="AI540" s="1526"/>
      <c r="AJ540" s="1526"/>
      <c r="AK540" s="1526"/>
      <c r="AL540" s="1526"/>
      <c r="AM540" s="1526"/>
      <c r="AN540" s="1526"/>
      <c r="AO540" s="817"/>
      <c r="AP540" s="817"/>
      <c r="AQ540" s="817"/>
      <c r="AR540" s="817"/>
      <c r="AS540" s="817"/>
      <c r="AT540" s="817"/>
      <c r="AU540" s="817"/>
      <c r="AV540" s="817"/>
      <c r="AW540" s="817"/>
      <c r="AX540" s="1526">
        <f>AZ88</f>
        <v>0</v>
      </c>
      <c r="AY540" s="1526"/>
      <c r="AZ540" s="1526"/>
      <c r="BA540" s="1526"/>
      <c r="BB540" s="1526"/>
      <c r="BC540" s="1526"/>
      <c r="BD540" s="1526"/>
      <c r="BE540" s="1526"/>
      <c r="BF540" s="1526"/>
      <c r="BG540" s="1526"/>
      <c r="BH540" s="1526"/>
      <c r="BI540" s="1526"/>
      <c r="BJ540" s="1526"/>
      <c r="BK540" s="1526"/>
      <c r="BL540" s="1526"/>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7">
        <f>IF($I538=$Z540,Z538,Z537)</f>
        <v>0</v>
      </c>
      <c r="AA541" s="1527"/>
      <c r="AB541" s="1527"/>
      <c r="AC541" s="201"/>
      <c r="AD541" s="1527">
        <f>IF($I538=$Z540,AD538,AD537)</f>
        <v>0</v>
      </c>
      <c r="AE541" s="1527"/>
      <c r="AF541" s="1527"/>
      <c r="AG541" s="201"/>
      <c r="AH541" s="1527">
        <f>IF($I538=$Z540,AH538,AH537)</f>
        <v>0</v>
      </c>
      <c r="AI541" s="1527"/>
      <c r="AJ541" s="1527"/>
      <c r="AK541" s="201"/>
      <c r="AL541" s="1527">
        <f>IF($I538=$Z540,AL538,AL537)</f>
        <v>0</v>
      </c>
      <c r="AM541" s="1527"/>
      <c r="AN541" s="1527"/>
      <c r="AO541" s="817"/>
      <c r="AP541" s="1524">
        <f>IF(AP542=0,0,1-AP543/AP542)</f>
        <v>0</v>
      </c>
      <c r="AQ541" s="1524"/>
      <c r="AR541" s="1524"/>
      <c r="AS541" s="1524"/>
      <c r="AT541" s="827"/>
      <c r="AU541" s="817"/>
      <c r="AV541" s="817"/>
      <c r="AW541" s="817"/>
      <c r="AX541" s="1527">
        <f>IF($I538=$AX540,AX538,AX537)</f>
        <v>0</v>
      </c>
      <c r="AY541" s="1527"/>
      <c r="AZ541" s="1527"/>
      <c r="BA541" s="201"/>
      <c r="BB541" s="1527">
        <f>IF($I538=$AX540,BB538,BB537)</f>
        <v>0</v>
      </c>
      <c r="BC541" s="1527"/>
      <c r="BD541" s="1527"/>
      <c r="BE541" s="201"/>
      <c r="BF541" s="1527">
        <f>IF($I538=$AX540,BF538,BF537)</f>
        <v>0</v>
      </c>
      <c r="BG541" s="1527"/>
      <c r="BH541" s="1527"/>
      <c r="BI541" s="201"/>
      <c r="BJ541" s="1527">
        <f>IF($I538=$AX540,BJ538,BJ537)</f>
        <v>0</v>
      </c>
      <c r="BK541" s="1527"/>
      <c r="BL541" s="1527"/>
      <c r="BM541" s="817"/>
      <c r="BN541" s="1524">
        <f>IF(BN542=0,0,1-BN543/BN542)</f>
        <v>0</v>
      </c>
      <c r="BO541" s="1524"/>
      <c r="BP541" s="1524"/>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19">
        <f>Z$522</f>
        <v>0</v>
      </c>
      <c r="AA542" s="1519"/>
      <c r="AB542" s="1519"/>
      <c r="AD542" s="1519">
        <f>AD$522</f>
        <v>0</v>
      </c>
      <c r="AE542" s="1519"/>
      <c r="AF542" s="1519"/>
      <c r="AH542" s="1519">
        <f>AH$522</f>
        <v>0</v>
      </c>
      <c r="AI542" s="1519"/>
      <c r="AJ542" s="1519"/>
      <c r="AL542" s="1519">
        <f>AL$522</f>
        <v>0</v>
      </c>
      <c r="AM542" s="1519"/>
      <c r="AN542" s="1519"/>
      <c r="AO542" s="817"/>
      <c r="AP542" s="1519">
        <f>SUM(Z542:AN542)</f>
        <v>0</v>
      </c>
      <c r="AQ542" s="1519"/>
      <c r="AR542" s="1519"/>
      <c r="AS542" s="1519"/>
      <c r="AT542" s="828"/>
      <c r="AU542" s="817"/>
      <c r="AV542" s="817"/>
      <c r="AW542" s="817"/>
      <c r="AX542" s="1519">
        <f>AX$522</f>
        <v>0</v>
      </c>
      <c r="AY542" s="1519"/>
      <c r="AZ542" s="1519"/>
      <c r="BB542" s="1519">
        <f>BB$522</f>
        <v>0</v>
      </c>
      <c r="BC542" s="1519"/>
      <c r="BD542" s="1519"/>
      <c r="BF542" s="1519">
        <f>BF$522</f>
        <v>0</v>
      </c>
      <c r="BG542" s="1519"/>
      <c r="BH542" s="1519"/>
      <c r="BJ542" s="1519">
        <f>BJ$522</f>
        <v>0</v>
      </c>
      <c r="BK542" s="1519"/>
      <c r="BL542" s="1519"/>
      <c r="BM542" s="817"/>
      <c r="BN542" s="1519">
        <f>SUM(AX542:BL542)</f>
        <v>0</v>
      </c>
      <c r="BO542" s="1519"/>
      <c r="BP542" s="151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5">
        <f>AX542-AX541*AX542</f>
        <v>0</v>
      </c>
      <c r="AY543" s="1525"/>
      <c r="AZ543" s="1525"/>
      <c r="BA543" s="831"/>
      <c r="BB543" s="1525">
        <f>BB542-BB541*BB542</f>
        <v>0</v>
      </c>
      <c r="BC543" s="1525"/>
      <c r="BD543" s="1525"/>
      <c r="BE543" s="831"/>
      <c r="BF543" s="1525">
        <f>BF542-BF541*BF542</f>
        <v>0</v>
      </c>
      <c r="BG543" s="1525"/>
      <c r="BH543" s="1525"/>
      <c r="BI543" s="831"/>
      <c r="BJ543" s="1525">
        <f>BJ542-BJ541*BJ542</f>
        <v>0</v>
      </c>
      <c r="BK543" s="1525"/>
      <c r="BL543" s="1525"/>
      <c r="BN543" s="1525">
        <f>SUM(AX543:BL543)</f>
        <v>0</v>
      </c>
      <c r="BO543" s="1525"/>
      <c r="BP543" s="1525"/>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18" t="s">
        <v>94</v>
      </c>
      <c r="AA546" s="1518"/>
      <c r="AB546" s="1518"/>
      <c r="AD546" s="1518" t="s">
        <v>97</v>
      </c>
      <c r="AE546" s="1518"/>
      <c r="AF546" s="1518"/>
      <c r="AH546" s="1518" t="s">
        <v>98</v>
      </c>
      <c r="AI546" s="1518"/>
      <c r="AJ546" s="1518"/>
      <c r="AL546" s="1518" t="s">
        <v>99</v>
      </c>
      <c r="AM546" s="1518"/>
      <c r="AN546" s="1518"/>
      <c r="AO546" s="216"/>
      <c r="AP546" s="216"/>
      <c r="AQ546" s="216"/>
      <c r="AR546" s="216"/>
      <c r="AS546" s="216"/>
      <c r="AT546" s="216"/>
      <c r="AX546" s="1518" t="s">
        <v>94</v>
      </c>
      <c r="AY546" s="1518"/>
      <c r="AZ546" s="1518"/>
      <c r="BB546" s="1518" t="s">
        <v>97</v>
      </c>
      <c r="BC546" s="1518"/>
      <c r="BD546" s="1518"/>
      <c r="BF546" s="1518" t="s">
        <v>98</v>
      </c>
      <c r="BG546" s="1518"/>
      <c r="BH546" s="1518"/>
      <c r="BJ546" s="1518" t="s">
        <v>99</v>
      </c>
      <c r="BK546" s="1518"/>
      <c r="BL546" s="1518"/>
    </row>
    <row r="547" spans="8:68" s="201" customFormat="1" ht="17" hidden="1" customHeight="1" outlineLevel="1" x14ac:dyDescent="0.15">
      <c r="H547" s="789"/>
      <c r="I547" s="823" t="str">
        <f>I517</f>
        <v>acceso/spento</v>
      </c>
      <c r="J547" s="823"/>
      <c r="K547" s="823"/>
      <c r="L547" s="823"/>
      <c r="M547" s="823"/>
      <c r="N547" s="823"/>
      <c r="O547" s="823"/>
      <c r="P547" s="823"/>
      <c r="Q547" s="823"/>
      <c r="R547" s="823"/>
      <c r="S547" s="823"/>
      <c r="T547" s="823"/>
      <c r="U547" s="823"/>
      <c r="V547" s="823"/>
      <c r="W547" s="823"/>
      <c r="X547" s="823"/>
      <c r="Y547" s="823"/>
      <c r="Z547" s="1518">
        <v>0</v>
      </c>
      <c r="AA547" s="1518"/>
      <c r="AB547" s="1518"/>
      <c r="AD547" s="1518">
        <v>0</v>
      </c>
      <c r="AE547" s="1518"/>
      <c r="AF547" s="1518"/>
      <c r="AH547" s="1518">
        <v>0</v>
      </c>
      <c r="AI547" s="1518"/>
      <c r="AJ547" s="1518"/>
      <c r="AL547" s="1518">
        <v>0</v>
      </c>
      <c r="AM547" s="1518"/>
      <c r="AN547" s="1518"/>
      <c r="AO547" s="216"/>
      <c r="AP547" s="216"/>
      <c r="AQ547" s="216"/>
      <c r="AR547" s="216"/>
      <c r="AS547" s="216"/>
      <c r="AT547" s="216"/>
      <c r="AX547" s="1518">
        <f>Z547</f>
        <v>0</v>
      </c>
      <c r="AY547" s="1518"/>
      <c r="AZ547" s="1518"/>
      <c r="BB547" s="1518">
        <f>AD547</f>
        <v>0</v>
      </c>
      <c r="BC547" s="1518"/>
      <c r="BD547" s="1518"/>
      <c r="BF547" s="1518">
        <f>AH547</f>
        <v>0</v>
      </c>
      <c r="BG547" s="1518"/>
      <c r="BH547" s="1518"/>
      <c r="BJ547" s="1518">
        <f>AL547</f>
        <v>0</v>
      </c>
      <c r="BK547" s="1518"/>
      <c r="BL547" s="1518"/>
    </row>
    <row r="548" spans="8:68" s="201" customFormat="1" ht="17" hidden="1" customHeight="1" outlineLevel="1" x14ac:dyDescent="0.15">
      <c r="H548" s="789"/>
      <c r="I548" s="823" t="str">
        <f>I518</f>
        <v>comando in base al fabbisogno (FU)</v>
      </c>
      <c r="J548" s="823"/>
      <c r="K548" s="823"/>
      <c r="L548" s="823"/>
      <c r="M548" s="823"/>
      <c r="N548" s="823"/>
      <c r="O548" s="823"/>
      <c r="P548" s="823"/>
      <c r="Q548" s="823"/>
      <c r="R548" s="823"/>
      <c r="S548" s="823"/>
      <c r="T548" s="823"/>
      <c r="U548" s="823"/>
      <c r="V548" s="823"/>
      <c r="W548" s="823"/>
      <c r="X548" s="823"/>
      <c r="Y548" s="823"/>
      <c r="Z548" s="1518">
        <v>0.3</v>
      </c>
      <c r="AA548" s="1518"/>
      <c r="AB548" s="1518"/>
      <c r="AD548" s="1518">
        <v>0</v>
      </c>
      <c r="AE548" s="1518"/>
      <c r="AF548" s="1518"/>
      <c r="AH548" s="1518">
        <v>0.3</v>
      </c>
      <c r="AI548" s="1518"/>
      <c r="AJ548" s="1518"/>
      <c r="AL548" s="1518">
        <v>0.5</v>
      </c>
      <c r="AM548" s="1518"/>
      <c r="AN548" s="1518"/>
      <c r="AO548" s="216"/>
      <c r="AP548" s="216"/>
      <c r="AQ548" s="216"/>
      <c r="AR548" s="216"/>
      <c r="AS548" s="216"/>
      <c r="AT548" s="216"/>
      <c r="AX548" s="1518">
        <f>Z548</f>
        <v>0.3</v>
      </c>
      <c r="AY548" s="1518"/>
      <c r="AZ548" s="1518"/>
      <c r="BB548" s="1518">
        <f>AD548</f>
        <v>0</v>
      </c>
      <c r="BC548" s="1518"/>
      <c r="BD548" s="1518"/>
      <c r="BF548" s="1518">
        <f>AH548</f>
        <v>0.3</v>
      </c>
      <c r="BG548" s="1518"/>
      <c r="BH548" s="1518"/>
      <c r="BJ548" s="1518">
        <f>AL548</f>
        <v>0.5</v>
      </c>
      <c r="BK548" s="1518"/>
      <c r="BL548" s="1518"/>
    </row>
    <row r="549" spans="8:68" s="216" customFormat="1" ht="17" hidden="1" customHeight="1" outlineLevel="1" x14ac:dyDescent="0.15">
      <c r="H549" s="381"/>
      <c r="Z549" s="1518"/>
      <c r="AA549" s="1518"/>
      <c r="AB549" s="1518"/>
      <c r="AC549" s="201"/>
      <c r="AD549" s="1518"/>
      <c r="AE549" s="1518"/>
      <c r="AF549" s="1518"/>
      <c r="AG549" s="201"/>
      <c r="AH549" s="1518"/>
      <c r="AI549" s="1518"/>
      <c r="AJ549" s="1518"/>
      <c r="AK549" s="201"/>
      <c r="AL549" s="1518"/>
      <c r="AM549" s="1518"/>
      <c r="AN549" s="1518"/>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6">
        <f>AB90</f>
        <v>0</v>
      </c>
      <c r="AA550" s="1526"/>
      <c r="AB550" s="1526"/>
      <c r="AC550" s="1526"/>
      <c r="AD550" s="1526"/>
      <c r="AE550" s="1526"/>
      <c r="AF550" s="1526"/>
      <c r="AG550" s="1526"/>
      <c r="AH550" s="1526"/>
      <c r="AI550" s="1526"/>
      <c r="AJ550" s="1526"/>
      <c r="AK550" s="1526"/>
      <c r="AL550" s="1526"/>
      <c r="AM550" s="1526"/>
      <c r="AN550" s="1526"/>
      <c r="AO550" s="817"/>
      <c r="AP550" s="817"/>
      <c r="AQ550" s="817"/>
      <c r="AR550" s="817"/>
      <c r="AS550" s="817"/>
      <c r="AT550" s="817"/>
      <c r="AU550" s="817"/>
      <c r="AV550" s="817"/>
      <c r="AW550" s="817"/>
      <c r="AX550" s="1526">
        <f>AZ90</f>
        <v>0</v>
      </c>
      <c r="AY550" s="1526"/>
      <c r="AZ550" s="1526"/>
      <c r="BA550" s="1526"/>
      <c r="BB550" s="1526"/>
      <c r="BC550" s="1526"/>
      <c r="BD550" s="1526"/>
      <c r="BE550" s="1526"/>
      <c r="BF550" s="1526"/>
      <c r="BG550" s="1526"/>
      <c r="BH550" s="1526"/>
      <c r="BI550" s="1526"/>
      <c r="BJ550" s="1526"/>
      <c r="BK550" s="1526"/>
      <c r="BL550" s="1526"/>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7">
        <f>IF($I548=$Z550,Z548,Z547)</f>
        <v>0</v>
      </c>
      <c r="AA551" s="1527"/>
      <c r="AB551" s="1527"/>
      <c r="AC551" s="201"/>
      <c r="AD551" s="1527">
        <f>IF($I548=$Z550,AD548,AD547)</f>
        <v>0</v>
      </c>
      <c r="AE551" s="1527"/>
      <c r="AF551" s="1527"/>
      <c r="AG551" s="201"/>
      <c r="AH551" s="1527">
        <f>IF($I548=$Z550,AH548,AH547)</f>
        <v>0</v>
      </c>
      <c r="AI551" s="1527"/>
      <c r="AJ551" s="1527"/>
      <c r="AK551" s="201"/>
      <c r="AL551" s="1527">
        <f>IF($I548=$Z550,AL548,AL547)</f>
        <v>0</v>
      </c>
      <c r="AM551" s="1527"/>
      <c r="AN551" s="1527"/>
      <c r="AO551" s="817"/>
      <c r="AP551" s="1524">
        <f>IF(AP552=0,0,1-AP553/AP552)</f>
        <v>0</v>
      </c>
      <c r="AQ551" s="1524"/>
      <c r="AR551" s="1524"/>
      <c r="AS551" s="1524"/>
      <c r="AT551" s="827"/>
      <c r="AU551" s="817"/>
      <c r="AV551" s="817"/>
      <c r="AW551" s="817"/>
      <c r="AX551" s="1527">
        <f>IF($I548=$AX550,AX548,AX547)</f>
        <v>0</v>
      </c>
      <c r="AY551" s="1527"/>
      <c r="AZ551" s="1527"/>
      <c r="BA551" s="201"/>
      <c r="BB551" s="1527">
        <f>IF($I548=$AX550,BB548,BB547)</f>
        <v>0</v>
      </c>
      <c r="BC551" s="1527"/>
      <c r="BD551" s="1527"/>
      <c r="BE551" s="201"/>
      <c r="BF551" s="1527">
        <f>IF($I548=$AX550,BF548,BF547)</f>
        <v>0</v>
      </c>
      <c r="BG551" s="1527"/>
      <c r="BH551" s="1527"/>
      <c r="BI551" s="201"/>
      <c r="BJ551" s="1527">
        <f>IF($I548=$AX550,BJ548,BJ547)</f>
        <v>0</v>
      </c>
      <c r="BK551" s="1527"/>
      <c r="BL551" s="1527"/>
      <c r="BM551" s="817"/>
      <c r="BN551" s="1524">
        <f>IF(BN552=0,0,1-BN553/BN552)</f>
        <v>0</v>
      </c>
      <c r="BO551" s="1524"/>
      <c r="BP551" s="1524"/>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19">
        <f>Z$522</f>
        <v>0</v>
      </c>
      <c r="AA552" s="1519"/>
      <c r="AB552" s="1519"/>
      <c r="AD552" s="1519">
        <f>AD$522</f>
        <v>0</v>
      </c>
      <c r="AE552" s="1519"/>
      <c r="AF552" s="1519"/>
      <c r="AH552" s="1519">
        <f>AH$522</f>
        <v>0</v>
      </c>
      <c r="AI552" s="1519"/>
      <c r="AJ552" s="1519"/>
      <c r="AL552" s="1519">
        <f>AL$522</f>
        <v>0</v>
      </c>
      <c r="AM552" s="1519"/>
      <c r="AN552" s="1519"/>
      <c r="AO552" s="817"/>
      <c r="AP552" s="1519">
        <f>SUM(Z552:AN552)</f>
        <v>0</v>
      </c>
      <c r="AQ552" s="1519"/>
      <c r="AR552" s="1519"/>
      <c r="AS552" s="1519"/>
      <c r="AT552" s="828"/>
      <c r="AU552" s="817"/>
      <c r="AV552" s="817"/>
      <c r="AW552" s="817"/>
      <c r="AX552" s="1519">
        <f>AX$522</f>
        <v>0</v>
      </c>
      <c r="AY552" s="1519"/>
      <c r="AZ552" s="1519"/>
      <c r="BB552" s="1519">
        <f>BB$522</f>
        <v>0</v>
      </c>
      <c r="BC552" s="1519"/>
      <c r="BD552" s="1519"/>
      <c r="BF552" s="1519">
        <f>BF$522</f>
        <v>0</v>
      </c>
      <c r="BG552" s="1519"/>
      <c r="BH552" s="1519"/>
      <c r="BJ552" s="1519">
        <f>BJ$522</f>
        <v>0</v>
      </c>
      <c r="BK552" s="1519"/>
      <c r="BL552" s="1519"/>
      <c r="BM552" s="817"/>
      <c r="BN552" s="1519">
        <f>SUM(AX552:BL552)</f>
        <v>0</v>
      </c>
      <c r="BO552" s="1519"/>
      <c r="BP552" s="151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5">
        <f>AX552-AX551*AX552</f>
        <v>0</v>
      </c>
      <c r="AY553" s="1525"/>
      <c r="AZ553" s="1525"/>
      <c r="BA553" s="831"/>
      <c r="BB553" s="1525">
        <f>BB552-BB551*BB552</f>
        <v>0</v>
      </c>
      <c r="BC553" s="1525"/>
      <c r="BD553" s="1525"/>
      <c r="BE553" s="831"/>
      <c r="BF553" s="1525">
        <f>BF552-BF551*BF552</f>
        <v>0</v>
      </c>
      <c r="BG553" s="1525"/>
      <c r="BH553" s="1525"/>
      <c r="BI553" s="831"/>
      <c r="BJ553" s="1525">
        <f>BJ552-BJ551*BJ552</f>
        <v>0</v>
      </c>
      <c r="BK553" s="1525"/>
      <c r="BL553" s="1525"/>
      <c r="BN553" s="1525">
        <f>SUM(AX553:BL553)</f>
        <v>0</v>
      </c>
      <c r="BO553" s="1525"/>
      <c r="BP553" s="1525"/>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18" t="s">
        <v>94</v>
      </c>
      <c r="AA557" s="1518"/>
      <c r="AB557" s="1518"/>
      <c r="AD557" s="1518" t="s">
        <v>97</v>
      </c>
      <c r="AE557" s="1518"/>
      <c r="AF557" s="1518"/>
      <c r="AH557" s="1518" t="s">
        <v>98</v>
      </c>
      <c r="AI557" s="1518"/>
      <c r="AJ557" s="1518"/>
      <c r="AL557" s="1518" t="s">
        <v>99</v>
      </c>
      <c r="AM557" s="1518"/>
      <c r="AN557" s="1518"/>
      <c r="AO557" s="216"/>
      <c r="AP557" s="216"/>
      <c r="AQ557" s="216"/>
      <c r="AR557" s="216"/>
      <c r="AS557" s="216"/>
      <c r="AT557" s="216"/>
      <c r="AX557" s="1518" t="s">
        <v>94</v>
      </c>
      <c r="AY557" s="1518"/>
      <c r="AZ557" s="1518"/>
      <c r="BB557" s="1518" t="s">
        <v>97</v>
      </c>
      <c r="BC557" s="1518"/>
      <c r="BD557" s="1518"/>
      <c r="BF557" s="1518" t="s">
        <v>98</v>
      </c>
      <c r="BG557" s="1518"/>
      <c r="BH557" s="1518"/>
      <c r="BJ557" s="1518" t="s">
        <v>99</v>
      </c>
      <c r="BK557" s="1518"/>
      <c r="BL557" s="1518"/>
    </row>
    <row r="558" spans="8:68" s="201" customFormat="1" ht="17" hidden="1" customHeight="1" outlineLevel="1" x14ac:dyDescent="0.15">
      <c r="H558" s="789"/>
      <c r="I558" s="823" t="str">
        <f>I547</f>
        <v>acceso/spento</v>
      </c>
      <c r="J558" s="823"/>
      <c r="K558" s="823"/>
      <c r="L558" s="823"/>
      <c r="M558" s="823"/>
      <c r="N558" s="823"/>
      <c r="O558" s="823"/>
      <c r="P558" s="823"/>
      <c r="Q558" s="823"/>
      <c r="R558" s="823"/>
      <c r="S558" s="823"/>
      <c r="T558" s="823"/>
      <c r="U558" s="823"/>
      <c r="V558" s="823"/>
      <c r="W558" s="823"/>
      <c r="X558" s="823"/>
      <c r="Y558" s="823"/>
      <c r="Z558" s="1518">
        <v>0</v>
      </c>
      <c r="AA558" s="1518"/>
      <c r="AB558" s="1518"/>
      <c r="AD558" s="1518">
        <v>0</v>
      </c>
      <c r="AE558" s="1518"/>
      <c r="AF558" s="1518"/>
      <c r="AH558" s="1518">
        <v>0</v>
      </c>
      <c r="AI558" s="1518"/>
      <c r="AJ558" s="1518"/>
      <c r="AL558" s="1518">
        <v>0</v>
      </c>
      <c r="AM558" s="1518"/>
      <c r="AN558" s="1518"/>
      <c r="AO558" s="216"/>
      <c r="AP558" s="216"/>
      <c r="AQ558" s="216"/>
      <c r="AR558" s="216"/>
      <c r="AS558" s="216"/>
      <c r="AT558" s="216"/>
      <c r="AX558" s="1518">
        <f>Z558</f>
        <v>0</v>
      </c>
      <c r="AY558" s="1518"/>
      <c r="AZ558" s="1518"/>
      <c r="BB558" s="1518">
        <f>AD558</f>
        <v>0</v>
      </c>
      <c r="BC558" s="1518"/>
      <c r="BD558" s="1518"/>
      <c r="BF558" s="1518">
        <f>AH558</f>
        <v>0</v>
      </c>
      <c r="BG558" s="1518"/>
      <c r="BH558" s="1518"/>
      <c r="BJ558" s="1518">
        <f>AL558</f>
        <v>0</v>
      </c>
      <c r="BK558" s="1518"/>
      <c r="BL558" s="1518"/>
    </row>
    <row r="559" spans="8:68" s="201" customFormat="1" ht="17" hidden="1" customHeight="1" outlineLevel="1" x14ac:dyDescent="0.15">
      <c r="H559" s="789"/>
      <c r="I559" s="823" t="str">
        <f>I548</f>
        <v>comando in base al fabbisogno (FU)</v>
      </c>
      <c r="J559" s="823"/>
      <c r="K559" s="823"/>
      <c r="L559" s="823"/>
      <c r="M559" s="823"/>
      <c r="N559" s="823"/>
      <c r="O559" s="823"/>
      <c r="P559" s="823"/>
      <c r="Q559" s="823"/>
      <c r="R559" s="823"/>
      <c r="S559" s="823"/>
      <c r="T559" s="823"/>
      <c r="U559" s="823"/>
      <c r="V559" s="823"/>
      <c r="W559" s="823"/>
      <c r="X559" s="823"/>
      <c r="Y559" s="823"/>
      <c r="Z559" s="1518">
        <v>0.3</v>
      </c>
      <c r="AA559" s="1518"/>
      <c r="AB559" s="1518"/>
      <c r="AD559" s="1518">
        <v>0</v>
      </c>
      <c r="AE559" s="1518"/>
      <c r="AF559" s="1518"/>
      <c r="AH559" s="1518">
        <v>0.3</v>
      </c>
      <c r="AI559" s="1518"/>
      <c r="AJ559" s="1518"/>
      <c r="AL559" s="1518">
        <v>0.5</v>
      </c>
      <c r="AM559" s="1518"/>
      <c r="AN559" s="1518"/>
      <c r="AO559" s="216"/>
      <c r="AP559" s="216"/>
      <c r="AQ559" s="216"/>
      <c r="AR559" s="216"/>
      <c r="AS559" s="216"/>
      <c r="AT559" s="216"/>
      <c r="AX559" s="1518">
        <f>Z559</f>
        <v>0.3</v>
      </c>
      <c r="AY559" s="1518"/>
      <c r="AZ559" s="1518"/>
      <c r="BB559" s="1518">
        <f>AD559</f>
        <v>0</v>
      </c>
      <c r="BC559" s="1518"/>
      <c r="BD559" s="1518"/>
      <c r="BF559" s="1518">
        <f>AH559</f>
        <v>0.3</v>
      </c>
      <c r="BG559" s="1518"/>
      <c r="BH559" s="1518"/>
      <c r="BJ559" s="1518">
        <f>AL559</f>
        <v>0.5</v>
      </c>
      <c r="BK559" s="1518"/>
      <c r="BL559" s="1518"/>
    </row>
    <row r="560" spans="8:68" s="216" customFormat="1" ht="17" hidden="1" customHeight="1" outlineLevel="1" x14ac:dyDescent="0.15">
      <c r="H560" s="381"/>
      <c r="Z560" s="1518"/>
      <c r="AA560" s="1518"/>
      <c r="AB560" s="1518"/>
      <c r="AC560" s="201"/>
      <c r="AD560" s="1518"/>
      <c r="AE560" s="1518"/>
      <c r="AF560" s="1518"/>
      <c r="AG560" s="201"/>
      <c r="AH560" s="1518"/>
      <c r="AI560" s="1518"/>
      <c r="AJ560" s="1518"/>
      <c r="AK560" s="201"/>
      <c r="AL560" s="1518"/>
      <c r="AM560" s="1518"/>
      <c r="AN560" s="1518"/>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6">
        <f>AB121</f>
        <v>0</v>
      </c>
      <c r="AA561" s="1526"/>
      <c r="AB561" s="1526"/>
      <c r="AC561" s="1526"/>
      <c r="AD561" s="1526"/>
      <c r="AE561" s="1526"/>
      <c r="AF561" s="1526"/>
      <c r="AG561" s="1526"/>
      <c r="AH561" s="1526"/>
      <c r="AI561" s="1526"/>
      <c r="AJ561" s="1526"/>
      <c r="AK561" s="1526"/>
      <c r="AL561" s="1526"/>
      <c r="AM561" s="1526"/>
      <c r="AN561" s="1526"/>
      <c r="AO561" s="817"/>
      <c r="AP561" s="817"/>
      <c r="AQ561" s="817"/>
      <c r="AR561" s="817"/>
      <c r="AS561" s="817"/>
      <c r="AT561" s="817"/>
      <c r="AU561" s="817"/>
      <c r="AV561" s="817"/>
      <c r="AW561" s="817"/>
      <c r="AX561" s="1526">
        <f>AZ121</f>
        <v>0</v>
      </c>
      <c r="AY561" s="1526"/>
      <c r="AZ561" s="1526"/>
      <c r="BA561" s="1526"/>
      <c r="BB561" s="1526"/>
      <c r="BC561" s="1526"/>
      <c r="BD561" s="1526"/>
      <c r="BE561" s="1526"/>
      <c r="BF561" s="1526"/>
      <c r="BG561" s="1526"/>
      <c r="BH561" s="1526"/>
      <c r="BI561" s="1526"/>
      <c r="BJ561" s="1526"/>
      <c r="BK561" s="1526"/>
      <c r="BL561" s="1526"/>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7">
        <f>IF($I559=$Z561,Z559,Z558)</f>
        <v>0</v>
      </c>
      <c r="AA562" s="1527"/>
      <c r="AB562" s="1527"/>
      <c r="AC562" s="201"/>
      <c r="AD562" s="1527">
        <f>IF($I559=$Z561,AD559,AD558)</f>
        <v>0</v>
      </c>
      <c r="AE562" s="1527"/>
      <c r="AF562" s="1527"/>
      <c r="AG562" s="201"/>
      <c r="AH562" s="1527">
        <f>IF($I559=$Z561,AH559,AH558)</f>
        <v>0</v>
      </c>
      <c r="AI562" s="1527"/>
      <c r="AJ562" s="1527"/>
      <c r="AK562" s="201"/>
      <c r="AL562" s="1527">
        <f>IF($I559=$Z561,AL559,AL558)</f>
        <v>0</v>
      </c>
      <c r="AM562" s="1527"/>
      <c r="AN562" s="1527"/>
      <c r="AO562" s="817"/>
      <c r="AP562" s="1524">
        <f>IF(AP563=0,0,1-AP564/AP563)</f>
        <v>0</v>
      </c>
      <c r="AQ562" s="1524"/>
      <c r="AR562" s="1524"/>
      <c r="AS562" s="1524"/>
      <c r="AT562" s="827"/>
      <c r="AU562" s="817"/>
      <c r="AV562" s="817"/>
      <c r="AW562" s="817"/>
      <c r="AX562" s="1527">
        <f>IF($I559=$AX561,AX559,AX558)</f>
        <v>0</v>
      </c>
      <c r="AY562" s="1527"/>
      <c r="AZ562" s="1527"/>
      <c r="BA562" s="201"/>
      <c r="BB562" s="1527">
        <f>IF($I559=$AX561,BB559,BB558)</f>
        <v>0</v>
      </c>
      <c r="BC562" s="1527"/>
      <c r="BD562" s="1527"/>
      <c r="BE562" s="201"/>
      <c r="BF562" s="1527">
        <f>IF($I559=$AX561,BF559,BF558)</f>
        <v>0</v>
      </c>
      <c r="BG562" s="1527"/>
      <c r="BH562" s="1527"/>
      <c r="BI562" s="201"/>
      <c r="BJ562" s="1527">
        <f>IF($I559=$AX561,BJ559,BJ558)</f>
        <v>0</v>
      </c>
      <c r="BK562" s="1527"/>
      <c r="BL562" s="1527"/>
      <c r="BM562" s="817"/>
      <c r="BN562" s="1524">
        <f>IF(BN563=0,0,1-BN564/BN563)</f>
        <v>0</v>
      </c>
      <c r="BO562" s="1524"/>
      <c r="BP562" s="1524"/>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19">
        <f>Z$522</f>
        <v>0</v>
      </c>
      <c r="AA563" s="1519"/>
      <c r="AB563" s="1519"/>
      <c r="AD563" s="1519">
        <f>AD$522</f>
        <v>0</v>
      </c>
      <c r="AE563" s="1519"/>
      <c r="AF563" s="1519"/>
      <c r="AH563" s="1519">
        <f>AH$522</f>
        <v>0</v>
      </c>
      <c r="AI563" s="1519"/>
      <c r="AJ563" s="1519"/>
      <c r="AL563" s="1519">
        <f>AL$522</f>
        <v>0</v>
      </c>
      <c r="AM563" s="1519"/>
      <c r="AN563" s="1519"/>
      <c r="AO563" s="817"/>
      <c r="AP563" s="1519">
        <f>SUM(Z563:AN563)</f>
        <v>0</v>
      </c>
      <c r="AQ563" s="1519"/>
      <c r="AR563" s="1519"/>
      <c r="AS563" s="1519"/>
      <c r="AT563" s="828"/>
      <c r="AU563" s="817"/>
      <c r="AV563" s="817"/>
      <c r="AW563" s="817"/>
      <c r="AX563" s="1519">
        <f>AX$522</f>
        <v>0</v>
      </c>
      <c r="AY563" s="1519"/>
      <c r="AZ563" s="1519"/>
      <c r="BB563" s="1519">
        <f>BB$522</f>
        <v>0</v>
      </c>
      <c r="BC563" s="1519"/>
      <c r="BD563" s="1519"/>
      <c r="BF563" s="1519">
        <f>BF$522</f>
        <v>0</v>
      </c>
      <c r="BG563" s="1519"/>
      <c r="BH563" s="1519"/>
      <c r="BJ563" s="1519">
        <f>BJ$522</f>
        <v>0</v>
      </c>
      <c r="BK563" s="1519"/>
      <c r="BL563" s="1519"/>
      <c r="BM563" s="817"/>
      <c r="BN563" s="1519">
        <f>SUM(AX563:BL563)</f>
        <v>0</v>
      </c>
      <c r="BO563" s="1519"/>
      <c r="BP563" s="151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5">
        <f>AX563-AX562*AX563</f>
        <v>0</v>
      </c>
      <c r="AY564" s="1525"/>
      <c r="AZ564" s="1525"/>
      <c r="BA564" s="831"/>
      <c r="BB564" s="1525">
        <f>BB563-BB562*BB563</f>
        <v>0</v>
      </c>
      <c r="BC564" s="1525"/>
      <c r="BD564" s="1525"/>
      <c r="BE564" s="831"/>
      <c r="BF564" s="1525">
        <f>BF563-BF562*BF563</f>
        <v>0</v>
      </c>
      <c r="BG564" s="1525"/>
      <c r="BH564" s="1525"/>
      <c r="BI564" s="831"/>
      <c r="BJ564" s="1525">
        <f>BJ563-BJ562*BJ563</f>
        <v>0</v>
      </c>
      <c r="BK564" s="1525"/>
      <c r="BL564" s="1525"/>
      <c r="BN564" s="1525">
        <f>SUM(AX564:BL564)</f>
        <v>0</v>
      </c>
      <c r="BO564" s="1525"/>
      <c r="BP564" s="1525"/>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69" t="s">
        <v>94</v>
      </c>
      <c r="AA568" s="1569"/>
      <c r="AB568" s="1569"/>
      <c r="AD568" s="1570" t="s">
        <v>97</v>
      </c>
      <c r="AE568" s="1570"/>
      <c r="AF568" s="1570"/>
      <c r="AH568" s="1564" t="s">
        <v>98</v>
      </c>
      <c r="AI568" s="1564"/>
      <c r="AJ568" s="1564"/>
      <c r="AL568" s="1564" t="s">
        <v>99</v>
      </c>
      <c r="AM568" s="1564"/>
      <c r="AN568" s="1564"/>
      <c r="AP568" s="1564" t="s">
        <v>101</v>
      </c>
      <c r="AQ568" s="1564"/>
      <c r="AR568" s="1564"/>
      <c r="AS568" s="1564"/>
      <c r="AT568" s="788"/>
      <c r="AX568" s="1569" t="s">
        <v>94</v>
      </c>
      <c r="AY568" s="1569"/>
      <c r="AZ568" s="1569"/>
      <c r="BB568" s="1570" t="s">
        <v>97</v>
      </c>
      <c r="BC568" s="1570"/>
      <c r="BD568" s="1570"/>
      <c r="BF568" s="1564" t="s">
        <v>98</v>
      </c>
      <c r="BG568" s="1564"/>
      <c r="BH568" s="1564"/>
      <c r="BJ568" s="1564" t="s">
        <v>99</v>
      </c>
      <c r="BK568" s="1564"/>
      <c r="BL568" s="1564"/>
      <c r="BN568" s="1564" t="s">
        <v>101</v>
      </c>
      <c r="BO568" s="1564"/>
      <c r="BP568" s="156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18" t="s">
        <v>94</v>
      </c>
      <c r="AA571" s="1518"/>
      <c r="AB571" s="1518"/>
      <c r="AD571" s="1518" t="s">
        <v>97</v>
      </c>
      <c r="AE571" s="1518"/>
      <c r="AF571" s="1518"/>
      <c r="AH571" s="1518" t="s">
        <v>98</v>
      </c>
      <c r="AI571" s="1518"/>
      <c r="AJ571" s="1518"/>
      <c r="AL571" s="1518" t="s">
        <v>99</v>
      </c>
      <c r="AM571" s="1518"/>
      <c r="AN571" s="1518"/>
      <c r="AO571" s="817"/>
      <c r="AP571" s="817"/>
      <c r="AQ571" s="817"/>
      <c r="AR571" s="817"/>
      <c r="AS571" s="817"/>
      <c r="AT571" s="817"/>
      <c r="AU571" s="817"/>
      <c r="AV571" s="817"/>
      <c r="AW571" s="817"/>
      <c r="AX571" s="1518" t="s">
        <v>94</v>
      </c>
      <c r="AY571" s="1518"/>
      <c r="AZ571" s="1518"/>
      <c r="BB571" s="1518" t="s">
        <v>97</v>
      </c>
      <c r="BC571" s="1518"/>
      <c r="BD571" s="1518"/>
      <c r="BF571" s="1518" t="s">
        <v>98</v>
      </c>
      <c r="BG571" s="1518"/>
      <c r="BH571" s="1518"/>
      <c r="BJ571" s="1518" t="s">
        <v>99</v>
      </c>
      <c r="BK571" s="1518"/>
      <c r="BL571" s="1518"/>
      <c r="BM571" s="817"/>
      <c r="BN571" s="817"/>
      <c r="BO571" s="817"/>
      <c r="BP571" s="817"/>
    </row>
    <row r="572" spans="8:68" s="201" customFormat="1" ht="17" hidden="1" customHeight="1" outlineLevel="1" x14ac:dyDescent="0.15">
      <c r="H572" s="789"/>
      <c r="I572" s="823" t="str">
        <f>I517</f>
        <v>acceso/spento</v>
      </c>
      <c r="J572" s="823"/>
      <c r="K572" s="823"/>
      <c r="L572" s="823"/>
      <c r="M572" s="823"/>
      <c r="N572" s="823"/>
      <c r="O572" s="823"/>
      <c r="P572" s="823"/>
      <c r="Q572" s="823"/>
      <c r="R572" s="823"/>
      <c r="S572" s="823"/>
      <c r="T572" s="823"/>
      <c r="U572" s="823"/>
      <c r="V572" s="823"/>
      <c r="W572" s="823"/>
      <c r="X572" s="823"/>
      <c r="Y572" s="823"/>
      <c r="Z572" s="1518">
        <v>0</v>
      </c>
      <c r="AA572" s="1518"/>
      <c r="AB572" s="1518"/>
      <c r="AD572" s="1518">
        <v>0</v>
      </c>
      <c r="AE572" s="1518"/>
      <c r="AF572" s="1518"/>
      <c r="AH572" s="1518">
        <v>0</v>
      </c>
      <c r="AI572" s="1518"/>
      <c r="AJ572" s="1518"/>
      <c r="AL572" s="1518">
        <v>0</v>
      </c>
      <c r="AM572" s="1518"/>
      <c r="AN572" s="1518"/>
      <c r="AO572" s="817"/>
      <c r="AP572" s="817"/>
      <c r="AQ572" s="817"/>
      <c r="AR572" s="817"/>
      <c r="AS572" s="817"/>
      <c r="AT572" s="817"/>
      <c r="AU572" s="817"/>
      <c r="AV572" s="817"/>
      <c r="AW572" s="817"/>
      <c r="AX572" s="1518">
        <f>Z572</f>
        <v>0</v>
      </c>
      <c r="AY572" s="1518"/>
      <c r="AZ572" s="1518"/>
      <c r="BB572" s="1518">
        <f>AD572</f>
        <v>0</v>
      </c>
      <c r="BC572" s="1518"/>
      <c r="BD572" s="1518"/>
      <c r="BF572" s="1518">
        <f>AH572</f>
        <v>0</v>
      </c>
      <c r="BG572" s="1518"/>
      <c r="BH572" s="1518"/>
      <c r="BJ572" s="1518">
        <f>AL572</f>
        <v>0</v>
      </c>
      <c r="BK572" s="1518"/>
      <c r="BL572" s="1518"/>
      <c r="BM572" s="817"/>
      <c r="BN572" s="817"/>
      <c r="BO572" s="817"/>
      <c r="BP572" s="817"/>
    </row>
    <row r="573" spans="8:68" s="201" customFormat="1" ht="17" hidden="1" customHeight="1" outlineLevel="1" x14ac:dyDescent="0.15">
      <c r="H573" s="789"/>
      <c r="I573" s="823" t="str">
        <f>I518</f>
        <v>comando in base al fabbisogno (FU)</v>
      </c>
      <c r="J573" s="823"/>
      <c r="K573" s="823"/>
      <c r="L573" s="823"/>
      <c r="M573" s="823"/>
      <c r="N573" s="823"/>
      <c r="O573" s="823"/>
      <c r="P573" s="823"/>
      <c r="Q573" s="823"/>
      <c r="R573" s="823"/>
      <c r="S573" s="823"/>
      <c r="T573" s="823"/>
      <c r="U573" s="823"/>
      <c r="V573" s="823"/>
      <c r="W573" s="823"/>
      <c r="X573" s="823"/>
      <c r="Y573" s="823"/>
      <c r="Z573" s="1518">
        <v>0.3</v>
      </c>
      <c r="AA573" s="1518"/>
      <c r="AB573" s="1518"/>
      <c r="AD573" s="1518">
        <v>0</v>
      </c>
      <c r="AE573" s="1518"/>
      <c r="AF573" s="1518"/>
      <c r="AH573" s="1518">
        <v>0.3</v>
      </c>
      <c r="AI573" s="1518"/>
      <c r="AJ573" s="1518"/>
      <c r="AL573" s="1518">
        <v>0.5</v>
      </c>
      <c r="AM573" s="1518"/>
      <c r="AN573" s="1518"/>
      <c r="AO573" s="817"/>
      <c r="AP573" s="817"/>
      <c r="AQ573" s="817"/>
      <c r="AR573" s="817"/>
      <c r="AS573" s="817"/>
      <c r="AT573" s="817"/>
      <c r="AU573" s="817"/>
      <c r="AV573" s="817"/>
      <c r="AW573" s="817"/>
      <c r="AX573" s="1518">
        <f>Z573</f>
        <v>0.3</v>
      </c>
      <c r="AY573" s="1518"/>
      <c r="AZ573" s="1518"/>
      <c r="BB573" s="1518">
        <f>AD573</f>
        <v>0</v>
      </c>
      <c r="BC573" s="1518"/>
      <c r="BD573" s="1518"/>
      <c r="BF573" s="1518">
        <f>AH573</f>
        <v>0.3</v>
      </c>
      <c r="BG573" s="1518"/>
      <c r="BH573" s="1518"/>
      <c r="BJ573" s="1518">
        <f>AL573</f>
        <v>0.5</v>
      </c>
      <c r="BK573" s="1518"/>
      <c r="BL573" s="1518"/>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6">
        <f>AB103</f>
        <v>0</v>
      </c>
      <c r="AA575" s="1526"/>
      <c r="AB575" s="1526"/>
      <c r="AC575" s="1526"/>
      <c r="AD575" s="1526"/>
      <c r="AE575" s="1526"/>
      <c r="AF575" s="1526"/>
      <c r="AG575" s="1526"/>
      <c r="AH575" s="1526"/>
      <c r="AI575" s="1526"/>
      <c r="AJ575" s="1526"/>
      <c r="AK575" s="1526"/>
      <c r="AL575" s="1526"/>
      <c r="AM575" s="1526"/>
      <c r="AN575" s="1526"/>
      <c r="AO575" s="817"/>
      <c r="AP575" s="817"/>
      <c r="AQ575" s="817"/>
      <c r="AR575" s="817"/>
      <c r="AS575" s="817"/>
      <c r="AT575" s="817"/>
      <c r="AU575" s="817"/>
      <c r="AV575" s="817"/>
      <c r="AW575" s="817"/>
      <c r="AX575" s="1526">
        <f>AZ103</f>
        <v>0</v>
      </c>
      <c r="AY575" s="1526"/>
      <c r="AZ575" s="1526"/>
      <c r="BA575" s="1526"/>
      <c r="BB575" s="1526"/>
      <c r="BC575" s="1526"/>
      <c r="BD575" s="1526"/>
      <c r="BE575" s="1526"/>
      <c r="BF575" s="1526"/>
      <c r="BG575" s="1526"/>
      <c r="BH575" s="1526"/>
      <c r="BI575" s="1526"/>
      <c r="BJ575" s="1526"/>
      <c r="BK575" s="1526"/>
      <c r="BL575" s="1526"/>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7">
        <f>IF($I573=$Z575,Z573,Z572)</f>
        <v>0</v>
      </c>
      <c r="AA576" s="1527"/>
      <c r="AB576" s="1527"/>
      <c r="AC576" s="201"/>
      <c r="AD576" s="1527">
        <f>IF($I573=$Z575,AD573,AD572)</f>
        <v>0</v>
      </c>
      <c r="AE576" s="1527"/>
      <c r="AF576" s="1527"/>
      <c r="AG576" s="201"/>
      <c r="AH576" s="1527">
        <f>IF($I573=$Z575,AH573,AH572)</f>
        <v>0</v>
      </c>
      <c r="AI576" s="1527"/>
      <c r="AJ576" s="1527"/>
      <c r="AK576" s="201"/>
      <c r="AL576" s="1527">
        <f>IF($I573=$Z575,AL573,AL572)</f>
        <v>0</v>
      </c>
      <c r="AM576" s="1527"/>
      <c r="AN576" s="1527"/>
      <c r="AO576" s="817"/>
      <c r="AP576" s="1524">
        <f>IF(AP577=0,0,1-AP578/AP577)</f>
        <v>0</v>
      </c>
      <c r="AQ576" s="1524"/>
      <c r="AR576" s="1524"/>
      <c r="AS576" s="1524"/>
      <c r="AT576" s="827"/>
      <c r="AU576" s="817"/>
      <c r="AV576" s="817"/>
      <c r="AW576" s="817"/>
      <c r="AX576" s="1527">
        <f>IF($I573=$Z575,AX573,AX572)</f>
        <v>0</v>
      </c>
      <c r="AY576" s="1527"/>
      <c r="AZ576" s="1527"/>
      <c r="BA576" s="201"/>
      <c r="BB576" s="1527">
        <f>IF($I573=$Z575,BB573,BB572)</f>
        <v>0</v>
      </c>
      <c r="BC576" s="1527"/>
      <c r="BD576" s="1527"/>
      <c r="BE576" s="201"/>
      <c r="BF576" s="1527">
        <f>IF($I573=$Z575,BF573,BF572)</f>
        <v>0</v>
      </c>
      <c r="BG576" s="1527"/>
      <c r="BH576" s="1527"/>
      <c r="BI576" s="201"/>
      <c r="BJ576" s="1527">
        <f>IF($I573=$Z575,BJ573,BJ572)</f>
        <v>0</v>
      </c>
      <c r="BK576" s="1527"/>
      <c r="BL576" s="1527"/>
      <c r="BM576" s="817"/>
      <c r="BN576" s="1524">
        <f>IF(BN577=0,0,1-BN578/BN577)</f>
        <v>0</v>
      </c>
      <c r="BO576" s="1524"/>
      <c r="BP576" s="1524"/>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19">
        <f>Z$522</f>
        <v>0</v>
      </c>
      <c r="AA577" s="1519"/>
      <c r="AB577" s="1519"/>
      <c r="AD577" s="1519">
        <f>AD$522</f>
        <v>0</v>
      </c>
      <c r="AE577" s="1519"/>
      <c r="AF577" s="1519"/>
      <c r="AH577" s="1519">
        <f>AH$522</f>
        <v>0</v>
      </c>
      <c r="AI577" s="1519"/>
      <c r="AJ577" s="1519"/>
      <c r="AL577" s="1519">
        <f>AL$522</f>
        <v>0</v>
      </c>
      <c r="AM577" s="1519"/>
      <c r="AN577" s="1519"/>
      <c r="AO577" s="817"/>
      <c r="AP577" s="1519">
        <f>SUM(Z577:AN577)</f>
        <v>0</v>
      </c>
      <c r="AQ577" s="1519"/>
      <c r="AR577" s="1519"/>
      <c r="AS577" s="1519"/>
      <c r="AT577" s="828"/>
      <c r="AU577" s="817"/>
      <c r="AV577" s="817"/>
      <c r="AW577" s="817"/>
      <c r="AX577" s="1519">
        <f>AX$522</f>
        <v>0</v>
      </c>
      <c r="AY577" s="1519"/>
      <c r="AZ577" s="1519"/>
      <c r="BB577" s="1519">
        <f>BB$522</f>
        <v>0</v>
      </c>
      <c r="BC577" s="1519"/>
      <c r="BD577" s="1519"/>
      <c r="BF577" s="1519">
        <f>BF$522</f>
        <v>0</v>
      </c>
      <c r="BG577" s="1519"/>
      <c r="BH577" s="1519"/>
      <c r="BJ577" s="1519">
        <f>BJ$522</f>
        <v>0</v>
      </c>
      <c r="BK577" s="1519"/>
      <c r="BL577" s="1519"/>
      <c r="BM577" s="817"/>
      <c r="BN577" s="1519">
        <f>SUM(AX577:BL577)</f>
        <v>0</v>
      </c>
      <c r="BO577" s="1519"/>
      <c r="BP577" s="151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5">
        <f>AX577-AX576*AX577</f>
        <v>0</v>
      </c>
      <c r="AY578" s="1525"/>
      <c r="AZ578" s="1525"/>
      <c r="BA578" s="831"/>
      <c r="BB578" s="1525">
        <f>BB577-BB576*BB577</f>
        <v>0</v>
      </c>
      <c r="BC578" s="1525"/>
      <c r="BD578" s="1525"/>
      <c r="BE578" s="831"/>
      <c r="BF578" s="1525">
        <f>BF577-BF576*BF577</f>
        <v>0</v>
      </c>
      <c r="BG578" s="1525"/>
      <c r="BH578" s="1525"/>
      <c r="BI578" s="831"/>
      <c r="BJ578" s="1525">
        <f>BJ577-BJ576*BJ577</f>
        <v>0</v>
      </c>
      <c r="BK578" s="1525"/>
      <c r="BL578" s="1525"/>
      <c r="BN578" s="1525">
        <f>SUM(AX578:BL578)</f>
        <v>0</v>
      </c>
      <c r="BO578" s="1525"/>
      <c r="BP578" s="1525"/>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18" t="s">
        <v>94</v>
      </c>
      <c r="AA581" s="1518"/>
      <c r="AB581" s="1518"/>
      <c r="AD581" s="1518" t="s">
        <v>97</v>
      </c>
      <c r="AE581" s="1518"/>
      <c r="AF581" s="1518"/>
      <c r="AH581" s="1518" t="s">
        <v>98</v>
      </c>
      <c r="AI581" s="1518"/>
      <c r="AJ581" s="1518"/>
      <c r="AL581" s="1518" t="s">
        <v>99</v>
      </c>
      <c r="AM581" s="1518"/>
      <c r="AN581" s="1518"/>
      <c r="AO581" s="817"/>
      <c r="AP581" s="817"/>
      <c r="AQ581" s="817"/>
      <c r="AR581" s="817"/>
      <c r="AS581" s="817"/>
      <c r="AT581" s="817"/>
      <c r="AU581" s="817"/>
      <c r="AV581" s="817"/>
      <c r="AW581" s="817"/>
      <c r="AX581" s="1518" t="s">
        <v>94</v>
      </c>
      <c r="AY581" s="1518"/>
      <c r="AZ581" s="1518"/>
      <c r="BB581" s="1518" t="s">
        <v>97</v>
      </c>
      <c r="BC581" s="1518"/>
      <c r="BD581" s="1518"/>
      <c r="BF581" s="1518" t="s">
        <v>98</v>
      </c>
      <c r="BG581" s="1518"/>
      <c r="BH581" s="1518"/>
      <c r="BJ581" s="1518" t="s">
        <v>99</v>
      </c>
      <c r="BK581" s="1518"/>
      <c r="BL581" s="1518"/>
      <c r="BM581" s="817"/>
      <c r="BN581" s="817"/>
      <c r="BO581" s="817"/>
      <c r="BP581" s="817"/>
    </row>
    <row r="582" spans="8:68" s="201" customFormat="1" ht="17" hidden="1" customHeight="1" outlineLevel="1" x14ac:dyDescent="0.15">
      <c r="H582" s="789"/>
      <c r="I582" s="823" t="str">
        <f>I572</f>
        <v>acceso/spento</v>
      </c>
      <c r="J582" s="823"/>
      <c r="K582" s="823"/>
      <c r="L582" s="823"/>
      <c r="M582" s="823"/>
      <c r="N582" s="823"/>
      <c r="O582" s="823"/>
      <c r="P582" s="823"/>
      <c r="Q582" s="823"/>
      <c r="R582" s="823"/>
      <c r="S582" s="823"/>
      <c r="T582" s="823"/>
      <c r="U582" s="823"/>
      <c r="V582" s="823"/>
      <c r="W582" s="823"/>
      <c r="X582" s="823"/>
      <c r="Y582" s="823"/>
      <c r="Z582" s="1518">
        <v>0</v>
      </c>
      <c r="AA582" s="1518"/>
      <c r="AB582" s="1518"/>
      <c r="AD582" s="1518">
        <v>0</v>
      </c>
      <c r="AE582" s="1518"/>
      <c r="AF582" s="1518"/>
      <c r="AH582" s="1518">
        <v>0</v>
      </c>
      <c r="AI582" s="1518"/>
      <c r="AJ582" s="1518"/>
      <c r="AL582" s="1518">
        <v>0</v>
      </c>
      <c r="AM582" s="1518"/>
      <c r="AN582" s="1518"/>
      <c r="AO582" s="817"/>
      <c r="AP582" s="817"/>
      <c r="AQ582" s="817"/>
      <c r="AR582" s="817"/>
      <c r="AS582" s="817"/>
      <c r="AT582" s="817"/>
      <c r="AU582" s="817"/>
      <c r="AV582" s="817"/>
      <c r="AW582" s="817"/>
      <c r="AX582" s="1518">
        <f>Z582</f>
        <v>0</v>
      </c>
      <c r="AY582" s="1518"/>
      <c r="AZ582" s="1518"/>
      <c r="BB582" s="1518">
        <f>AD582</f>
        <v>0</v>
      </c>
      <c r="BC582" s="1518"/>
      <c r="BD582" s="1518"/>
      <c r="BF582" s="1518">
        <f>AH582</f>
        <v>0</v>
      </c>
      <c r="BG582" s="1518"/>
      <c r="BH582" s="1518"/>
      <c r="BJ582" s="1518">
        <f>AL582</f>
        <v>0</v>
      </c>
      <c r="BK582" s="1518"/>
      <c r="BL582" s="1518"/>
      <c r="BM582" s="817"/>
      <c r="BN582" s="817"/>
      <c r="BO582" s="817"/>
      <c r="BP582" s="817"/>
    </row>
    <row r="583" spans="8:68" s="201" customFormat="1" ht="17" hidden="1" customHeight="1" outlineLevel="1" x14ac:dyDescent="0.15">
      <c r="H583" s="789"/>
      <c r="I583" s="823" t="str">
        <f>I573</f>
        <v>comando in base al fabbisogno (FU)</v>
      </c>
      <c r="J583" s="823"/>
      <c r="K583" s="823"/>
      <c r="L583" s="823"/>
      <c r="M583" s="823"/>
      <c r="N583" s="823"/>
      <c r="O583" s="823"/>
      <c r="P583" s="823"/>
      <c r="Q583" s="823"/>
      <c r="R583" s="823"/>
      <c r="S583" s="823"/>
      <c r="T583" s="823"/>
      <c r="U583" s="823"/>
      <c r="V583" s="823"/>
      <c r="W583" s="823"/>
      <c r="X583" s="823"/>
      <c r="Y583" s="823"/>
      <c r="Z583" s="1518">
        <v>0.3</v>
      </c>
      <c r="AA583" s="1518"/>
      <c r="AB583" s="1518"/>
      <c r="AD583" s="1518">
        <v>0</v>
      </c>
      <c r="AE583" s="1518"/>
      <c r="AF583" s="1518"/>
      <c r="AH583" s="1518">
        <v>0.3</v>
      </c>
      <c r="AI583" s="1518"/>
      <c r="AJ583" s="1518"/>
      <c r="AL583" s="1518">
        <v>0.5</v>
      </c>
      <c r="AM583" s="1518"/>
      <c r="AN583" s="1518"/>
      <c r="AO583" s="817"/>
      <c r="AP583" s="817"/>
      <c r="AQ583" s="817"/>
      <c r="AR583" s="817"/>
      <c r="AS583" s="817"/>
      <c r="AT583" s="817"/>
      <c r="AU583" s="817"/>
      <c r="AV583" s="817"/>
      <c r="AW583" s="817"/>
      <c r="AX583" s="1518">
        <f>Z583</f>
        <v>0.3</v>
      </c>
      <c r="AY583" s="1518"/>
      <c r="AZ583" s="1518"/>
      <c r="BB583" s="1518">
        <f>AD583</f>
        <v>0</v>
      </c>
      <c r="BC583" s="1518"/>
      <c r="BD583" s="1518"/>
      <c r="BF583" s="1518">
        <f>AH583</f>
        <v>0.3</v>
      </c>
      <c r="BG583" s="1518"/>
      <c r="BH583" s="1518"/>
      <c r="BJ583" s="1518">
        <f>AL583</f>
        <v>0.5</v>
      </c>
      <c r="BK583" s="1518"/>
      <c r="BL583" s="1518"/>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6">
        <f>AB105</f>
        <v>0</v>
      </c>
      <c r="AA585" s="1526"/>
      <c r="AB585" s="1526"/>
      <c r="AC585" s="1526"/>
      <c r="AD585" s="1526"/>
      <c r="AE585" s="1526"/>
      <c r="AF585" s="1526"/>
      <c r="AG585" s="1526"/>
      <c r="AH585" s="1526"/>
      <c r="AI585" s="1526"/>
      <c r="AJ585" s="1526"/>
      <c r="AK585" s="1526"/>
      <c r="AL585" s="1526"/>
      <c r="AM585" s="1526"/>
      <c r="AN585" s="1526"/>
      <c r="AO585" s="817"/>
      <c r="AP585" s="817"/>
      <c r="AQ585" s="817"/>
      <c r="AR585" s="817"/>
      <c r="AS585" s="817"/>
      <c r="AT585" s="817"/>
      <c r="AU585" s="817"/>
      <c r="AV585" s="817"/>
      <c r="AW585" s="817"/>
      <c r="AX585" s="1526">
        <f>AZ105</f>
        <v>0</v>
      </c>
      <c r="AY585" s="1526"/>
      <c r="AZ585" s="1526"/>
      <c r="BA585" s="1526"/>
      <c r="BB585" s="1526"/>
      <c r="BC585" s="1526"/>
      <c r="BD585" s="1526"/>
      <c r="BE585" s="1526"/>
      <c r="BF585" s="1526"/>
      <c r="BG585" s="1526"/>
      <c r="BH585" s="1526"/>
      <c r="BI585" s="1526"/>
      <c r="BJ585" s="1526"/>
      <c r="BK585" s="1526"/>
      <c r="BL585" s="1526"/>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7">
        <f>IF($I583=$Z585,Z583,Z582)</f>
        <v>0</v>
      </c>
      <c r="AA586" s="1527"/>
      <c r="AB586" s="1527"/>
      <c r="AC586" s="201"/>
      <c r="AD586" s="1527">
        <f>IF($I583=$Z585,AD583,AD582)</f>
        <v>0</v>
      </c>
      <c r="AE586" s="1527"/>
      <c r="AF586" s="1527"/>
      <c r="AG586" s="201"/>
      <c r="AH586" s="1527">
        <f>IF($I583=$Z585,AH583,AH582)</f>
        <v>0</v>
      </c>
      <c r="AI586" s="1527"/>
      <c r="AJ586" s="1527"/>
      <c r="AK586" s="201"/>
      <c r="AL586" s="1527">
        <f>IF($I583=$Z585,AL583,AL582)</f>
        <v>0</v>
      </c>
      <c r="AM586" s="1527"/>
      <c r="AN586" s="1527"/>
      <c r="AO586" s="817"/>
      <c r="AP586" s="1524">
        <f>IF(AP587=0,0,1-AP588/AP587)</f>
        <v>0</v>
      </c>
      <c r="AQ586" s="1524"/>
      <c r="AR586" s="1524"/>
      <c r="AS586" s="1524"/>
      <c r="AT586" s="827"/>
      <c r="AU586" s="817"/>
      <c r="AV586" s="817"/>
      <c r="AW586" s="817"/>
      <c r="AX586" s="1527">
        <f>IF($I583=$Z585,AX583,AX582)</f>
        <v>0</v>
      </c>
      <c r="AY586" s="1527"/>
      <c r="AZ586" s="1527"/>
      <c r="BA586" s="201"/>
      <c r="BB586" s="1527">
        <f>IF($I583=$Z585,BB583,BB582)</f>
        <v>0</v>
      </c>
      <c r="BC586" s="1527"/>
      <c r="BD586" s="1527"/>
      <c r="BE586" s="201"/>
      <c r="BF586" s="1527">
        <f>IF($I583=$Z585,BF583,BF582)</f>
        <v>0</v>
      </c>
      <c r="BG586" s="1527"/>
      <c r="BH586" s="1527"/>
      <c r="BI586" s="201"/>
      <c r="BJ586" s="1527">
        <f>IF($I583=$Z585,BJ583,BJ582)</f>
        <v>0</v>
      </c>
      <c r="BK586" s="1527"/>
      <c r="BL586" s="1527"/>
      <c r="BM586" s="817"/>
      <c r="BN586" s="1524">
        <f>IF(BN587=0,0,1-BN588/BN587)</f>
        <v>0</v>
      </c>
      <c r="BO586" s="1524"/>
      <c r="BP586" s="1524"/>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19">
        <f>Z$522</f>
        <v>0</v>
      </c>
      <c r="AA587" s="1519"/>
      <c r="AB587" s="1519"/>
      <c r="AD587" s="1519">
        <f>AD$522</f>
        <v>0</v>
      </c>
      <c r="AE587" s="1519"/>
      <c r="AF587" s="1519"/>
      <c r="AH587" s="1519">
        <f>AH$522</f>
        <v>0</v>
      </c>
      <c r="AI587" s="1519"/>
      <c r="AJ587" s="1519"/>
      <c r="AL587" s="1519">
        <f>AL$522</f>
        <v>0</v>
      </c>
      <c r="AM587" s="1519"/>
      <c r="AN587" s="1519"/>
      <c r="AO587" s="817"/>
      <c r="AP587" s="1519">
        <f>SUM(Z587:AN587)</f>
        <v>0</v>
      </c>
      <c r="AQ587" s="1519"/>
      <c r="AR587" s="1519"/>
      <c r="AS587" s="1519"/>
      <c r="AT587" s="828"/>
      <c r="AU587" s="817"/>
      <c r="AV587" s="817"/>
      <c r="AW587" s="817"/>
      <c r="AX587" s="1519">
        <f>AX$522</f>
        <v>0</v>
      </c>
      <c r="AY587" s="1519"/>
      <c r="AZ587" s="1519"/>
      <c r="BB587" s="1519">
        <f>BB$522</f>
        <v>0</v>
      </c>
      <c r="BC587" s="1519"/>
      <c r="BD587" s="1519"/>
      <c r="BF587" s="1519">
        <f>BF$522</f>
        <v>0</v>
      </c>
      <c r="BG587" s="1519"/>
      <c r="BH587" s="1519"/>
      <c r="BJ587" s="1519">
        <f>BJ$522</f>
        <v>0</v>
      </c>
      <c r="BK587" s="1519"/>
      <c r="BL587" s="1519"/>
      <c r="BM587" s="817"/>
      <c r="BN587" s="1519">
        <f>SUM(AX587:BL587)</f>
        <v>0</v>
      </c>
      <c r="BO587" s="1519"/>
      <c r="BP587" s="151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5">
        <f>AX587-AX586*AX587</f>
        <v>0</v>
      </c>
      <c r="AY588" s="1525"/>
      <c r="AZ588" s="1525"/>
      <c r="BA588" s="831"/>
      <c r="BB588" s="1525">
        <f>BB587-BB586*BB587</f>
        <v>0</v>
      </c>
      <c r="BC588" s="1525"/>
      <c r="BD588" s="1525"/>
      <c r="BE588" s="831"/>
      <c r="BF588" s="1525">
        <f>BF587-BF586*BF587</f>
        <v>0</v>
      </c>
      <c r="BG588" s="1525"/>
      <c r="BH588" s="1525"/>
      <c r="BI588" s="831"/>
      <c r="BJ588" s="1525">
        <f>BJ587-BJ586*BJ587</f>
        <v>0</v>
      </c>
      <c r="BK588" s="1525"/>
      <c r="BL588" s="1525"/>
      <c r="BN588" s="1525">
        <f>SUM(AX588:BL588)</f>
        <v>0</v>
      </c>
      <c r="BO588" s="1525"/>
      <c r="BP588" s="1525"/>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72">
        <f>X47</f>
        <v>0</v>
      </c>
      <c r="Y593" s="1572"/>
      <c r="Z593" s="1572"/>
      <c r="AA593" s="1572"/>
      <c r="AB593" s="1572"/>
      <c r="AC593" s="1572"/>
      <c r="AD593" s="1572"/>
      <c r="AE593" s="1572"/>
      <c r="AF593" s="1572"/>
      <c r="AG593" s="1572"/>
      <c r="AH593" s="1572"/>
      <c r="AI593" s="1572"/>
      <c r="AJ593" s="1572"/>
      <c r="AK593" s="1572"/>
      <c r="AL593" s="1572"/>
      <c r="AM593" s="1572"/>
      <c r="AN593" s="1572"/>
      <c r="AO593" s="1572"/>
      <c r="AP593" s="1573"/>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71" t="s">
        <v>143</v>
      </c>
      <c r="O595" s="1571"/>
      <c r="P595" s="1571"/>
      <c r="Q595" s="843"/>
      <c r="R595" s="1571" t="s">
        <v>144</v>
      </c>
      <c r="S595" s="1571"/>
      <c r="T595" s="1571"/>
      <c r="U595" s="843"/>
      <c r="V595" s="1571" t="s">
        <v>145</v>
      </c>
      <c r="W595" s="1571"/>
      <c r="X595" s="1571"/>
      <c r="Y595" s="843"/>
      <c r="Z595" s="1563" t="s">
        <v>155</v>
      </c>
      <c r="AA595" s="1563"/>
      <c r="AB595" s="1563"/>
      <c r="AC595" s="812"/>
      <c r="AD595" s="1561">
        <f>SUM(AD596:AF603)</f>
        <v>0</v>
      </c>
      <c r="AE595" s="1562"/>
      <c r="AF595" s="1562"/>
      <c r="AL595" s="1031"/>
      <c r="AM595" s="1031"/>
      <c r="AN595" s="1031"/>
      <c r="AO595" s="1031"/>
    </row>
    <row r="596" spans="8:73" s="201" customFormat="1" ht="19" hidden="1" customHeight="1" outlineLevel="1" x14ac:dyDescent="0.15">
      <c r="H596" s="813" t="str">
        <f>X!$C$38</f>
        <v>Basilea</v>
      </c>
      <c r="I596" s="814"/>
      <c r="J596" s="814"/>
      <c r="K596" s="814"/>
      <c r="L596" s="814"/>
      <c r="M596" s="814"/>
      <c r="N596" s="1528">
        <f>'2A Electricity regular'!N598</f>
        <v>7.9877419354838706</v>
      </c>
      <c r="O596" s="1528"/>
      <c r="P596" s="1528"/>
      <c r="Q596" s="844"/>
      <c r="R596" s="1528">
        <f>'2A Electricity regular'!R598</f>
        <v>13.434000000000001</v>
      </c>
      <c r="S596" s="1528"/>
      <c r="T596" s="1528"/>
      <c r="U596" s="844"/>
      <c r="V596" s="1528">
        <f>'2A Electricity regular'!V598</f>
        <v>16.869999999999997</v>
      </c>
      <c r="W596" s="1528"/>
      <c r="X596" s="1528"/>
      <c r="Y596" s="814"/>
      <c r="Z596" s="1519">
        <f t="shared" ref="Z596:Z603" si="103">(N596+R596+V596)/3</f>
        <v>12.763913978494623</v>
      </c>
      <c r="AA596" s="1519">
        <f t="shared" ref="AA596:AB603" si="104">(4.8+9.5+13)/3</f>
        <v>9.1</v>
      </c>
      <c r="AB596" s="151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Berna</v>
      </c>
      <c r="I597" s="814"/>
      <c r="J597" s="814"/>
      <c r="K597" s="814"/>
      <c r="L597" s="814"/>
      <c r="M597" s="814"/>
      <c r="N597" s="1528">
        <f>'2A Electricity regular'!N599</f>
        <v>6.5119354838709684</v>
      </c>
      <c r="O597" s="1528"/>
      <c r="P597" s="1528"/>
      <c r="Q597" s="844"/>
      <c r="R597" s="1528">
        <f>'2A Electricity regular'!R599</f>
        <v>12.053333333333335</v>
      </c>
      <c r="S597" s="1528"/>
      <c r="T597" s="1528"/>
      <c r="U597" s="844"/>
      <c r="V597" s="1528">
        <f>'2A Electricity regular'!V599</f>
        <v>15.602258064516132</v>
      </c>
      <c r="W597" s="1528"/>
      <c r="X597" s="1528"/>
      <c r="Y597" s="814"/>
      <c r="Z597" s="1519">
        <f t="shared" si="103"/>
        <v>11.389175627240144</v>
      </c>
      <c r="AA597" s="1519">
        <f t="shared" si="104"/>
        <v>9.1</v>
      </c>
      <c r="AB597" s="151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28">
        <f>'2A Electricity regular'!N600</f>
        <v>-2.6</v>
      </c>
      <c r="O598" s="1528"/>
      <c r="P598" s="1528"/>
      <c r="Q598" s="844"/>
      <c r="R598" s="1528">
        <f>'2A Electricity regular'!R600</f>
        <v>2.4</v>
      </c>
      <c r="S598" s="1528"/>
      <c r="T598" s="1528"/>
      <c r="U598" s="844"/>
      <c r="V598" s="1528">
        <f>'2A Electricity regular'!V600</f>
        <v>6.7</v>
      </c>
      <c r="W598" s="1528"/>
      <c r="X598" s="1528"/>
      <c r="Y598" s="814"/>
      <c r="Z598" s="1519">
        <f>(N598+R598+V598)/3</f>
        <v>2.1666666666666665</v>
      </c>
      <c r="AA598" s="1519">
        <f t="shared" si="104"/>
        <v>9.1</v>
      </c>
      <c r="AB598" s="151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Ginevra</v>
      </c>
      <c r="I599" s="814"/>
      <c r="J599" s="814"/>
      <c r="K599" s="814"/>
      <c r="L599" s="814"/>
      <c r="M599" s="814"/>
      <c r="N599" s="1528">
        <f>'2A Electricity regular'!N601</f>
        <v>8.1058064516129029</v>
      </c>
      <c r="O599" s="1528"/>
      <c r="P599" s="1528"/>
      <c r="Q599" s="844"/>
      <c r="R599" s="1528">
        <f>'2A Electricity regular'!R601</f>
        <v>13.476000000000003</v>
      </c>
      <c r="S599" s="1528"/>
      <c r="T599" s="1528"/>
      <c r="U599" s="844"/>
      <c r="V599" s="1528">
        <f>'2A Electricity regular'!V601</f>
        <v>16.889354838709675</v>
      </c>
      <c r="W599" s="1528"/>
      <c r="X599" s="1528"/>
      <c r="Y599" s="814"/>
      <c r="Z599" s="1519">
        <f t="shared" si="103"/>
        <v>12.823720430107528</v>
      </c>
      <c r="AA599" s="1519">
        <f t="shared" si="104"/>
        <v>9.1</v>
      </c>
      <c r="AB599" s="151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28">
        <f>'2A Electricity regular'!N602</f>
        <v>3.9619354838709682</v>
      </c>
      <c r="O600" s="1528"/>
      <c r="P600" s="1528"/>
      <c r="Q600" s="844"/>
      <c r="R600" s="1528">
        <f>'2A Electricity regular'!R602</f>
        <v>9.2540000000000013</v>
      </c>
      <c r="S600" s="1528"/>
      <c r="T600" s="1528"/>
      <c r="U600" s="844"/>
      <c r="V600" s="1528">
        <f>'2A Electricity regular'!V602</f>
        <v>12.42</v>
      </c>
      <c r="W600" s="1528"/>
      <c r="X600" s="1528"/>
      <c r="Y600" s="814"/>
      <c r="Z600" s="1519">
        <f t="shared" ref="Z600" si="106">(N600+R600+V600)/3</f>
        <v>8.54531182795699</v>
      </c>
      <c r="AA600" s="1519">
        <f t="shared" si="104"/>
        <v>9.1</v>
      </c>
      <c r="AB600" s="151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28">
        <f>'2A Electricity regular'!N603</f>
        <v>9.8825806451612905</v>
      </c>
      <c r="O601" s="1528"/>
      <c r="P601" s="1528"/>
      <c r="Q601" s="844"/>
      <c r="R601" s="1528">
        <f>'2A Electricity regular'!R603</f>
        <v>14.089333333333334</v>
      </c>
      <c r="S601" s="1528"/>
      <c r="T601" s="1528"/>
      <c r="U601" s="844"/>
      <c r="V601" s="1528">
        <f>'2A Electricity regular'!V603</f>
        <v>18.090967741935479</v>
      </c>
      <c r="W601" s="1528"/>
      <c r="X601" s="1528"/>
      <c r="Y601" s="814"/>
      <c r="Z601" s="1519">
        <f t="shared" si="103"/>
        <v>14.020960573476701</v>
      </c>
      <c r="AA601" s="1519">
        <f t="shared" si="104"/>
        <v>9.1</v>
      </c>
      <c r="AB601" s="151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San Gallo</v>
      </c>
      <c r="I602" s="814"/>
      <c r="J602" s="814"/>
      <c r="K602" s="814"/>
      <c r="L602" s="814"/>
      <c r="M602" s="814"/>
      <c r="N602" s="1528">
        <f>'2A Electricity regular'!N604</f>
        <v>4.8217018909899894</v>
      </c>
      <c r="O602" s="1528"/>
      <c r="P602" s="1528"/>
      <c r="Q602" s="844"/>
      <c r="R602" s="1528">
        <f>'2A Electricity regular'!R604</f>
        <v>10.16</v>
      </c>
      <c r="S602" s="1528"/>
      <c r="T602" s="1528"/>
      <c r="U602" s="844"/>
      <c r="V602" s="1528">
        <f>'2A Electricity regular'!V604</f>
        <v>13.814838709677421</v>
      </c>
      <c r="W602" s="1528"/>
      <c r="X602" s="1528"/>
      <c r="Y602" s="814"/>
      <c r="Z602" s="1519">
        <f t="shared" si="103"/>
        <v>9.5988468668891365</v>
      </c>
      <c r="AA602" s="1519">
        <f t="shared" si="104"/>
        <v>9.1</v>
      </c>
      <c r="AB602" s="151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Zurigo</v>
      </c>
      <c r="I603" s="814"/>
      <c r="J603" s="814"/>
      <c r="K603" s="814"/>
      <c r="L603" s="814"/>
      <c r="M603" s="814"/>
      <c r="N603" s="1528">
        <f>'2A Electricity regular'!N605</f>
        <v>6.5819354838709669</v>
      </c>
      <c r="O603" s="1528"/>
      <c r="P603" s="1528"/>
      <c r="Q603" s="844"/>
      <c r="R603" s="1528">
        <f>'2A Electricity regular'!R605</f>
        <v>12.138999999999999</v>
      </c>
      <c r="S603" s="1528"/>
      <c r="T603" s="1528"/>
      <c r="U603" s="844"/>
      <c r="V603" s="1528">
        <f>'2A Electricity regular'!V605</f>
        <v>15.498387096774195</v>
      </c>
      <c r="W603" s="1528"/>
      <c r="X603" s="1528"/>
      <c r="Y603" s="814"/>
      <c r="Z603" s="1519">
        <f t="shared" si="103"/>
        <v>11.406440860215055</v>
      </c>
      <c r="AA603" s="1519">
        <f t="shared" si="104"/>
        <v>9.1</v>
      </c>
      <c r="AB603" s="151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68" t="s">
        <v>146</v>
      </c>
      <c r="O606" s="1568"/>
      <c r="P606" s="1568"/>
      <c r="Q606" s="851"/>
      <c r="R606" s="1568" t="s">
        <v>147</v>
      </c>
      <c r="S606" s="1568"/>
      <c r="T606" s="1568"/>
      <c r="U606" s="851"/>
      <c r="V606" s="1568" t="s">
        <v>148</v>
      </c>
      <c r="W606" s="1568"/>
      <c r="X606" s="1568"/>
      <c r="Y606" s="843"/>
      <c r="Z606" s="1563" t="s">
        <v>155</v>
      </c>
      <c r="AA606" s="1563"/>
      <c r="AB606" s="1563"/>
      <c r="AC606" s="812"/>
      <c r="AD606" s="1561">
        <f>SUM(AD607:AF614)</f>
        <v>0</v>
      </c>
      <c r="AE606" s="1562"/>
      <c r="AF606" s="1562"/>
      <c r="AL606" s="1031"/>
      <c r="AM606" s="1031"/>
      <c r="AN606" s="1031"/>
      <c r="AO606" s="1031"/>
    </row>
    <row r="607" spans="8:73" s="63" customFormat="1" ht="16" hidden="1" outlineLevel="1" x14ac:dyDescent="0.15">
      <c r="H607" s="852" t="str">
        <f t="shared" ref="H607:H614" si="108">H596</f>
        <v>Basilea</v>
      </c>
      <c r="I607" s="814"/>
      <c r="J607" s="814"/>
      <c r="K607" s="814"/>
      <c r="L607" s="814"/>
      <c r="M607" s="814"/>
      <c r="N607" s="1528">
        <f>'2A Electricity regular'!N609</f>
        <v>20.448333333333331</v>
      </c>
      <c r="O607" s="1528"/>
      <c r="P607" s="1528"/>
      <c r="Q607" s="844"/>
      <c r="R607" s="1528">
        <f>'2A Electricity regular'!R609</f>
        <v>22.596774193548388</v>
      </c>
      <c r="S607" s="1528"/>
      <c r="T607" s="1528"/>
      <c r="U607" s="844"/>
      <c r="V607" s="1528">
        <f>'2A Electricity regular'!V609</f>
        <v>21.15</v>
      </c>
      <c r="W607" s="1528"/>
      <c r="X607" s="1528"/>
      <c r="Y607" s="814"/>
      <c r="Z607" s="1519">
        <f t="shared" ref="Z607:Z614" si="109">(N607+R607+V607)/3</f>
        <v>21.398369175627238</v>
      </c>
      <c r="AA607" s="1519">
        <f t="shared" ref="AA607:AB614" si="110">(4.8+9.5+13)/3</f>
        <v>9.1</v>
      </c>
      <c r="AB607" s="151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Berna</v>
      </c>
      <c r="I608" s="814"/>
      <c r="J608" s="814"/>
      <c r="K608" s="814"/>
      <c r="L608" s="814"/>
      <c r="M608" s="814"/>
      <c r="N608" s="1528">
        <f>'2A Electricity regular'!N610</f>
        <v>19.423999999999999</v>
      </c>
      <c r="O608" s="1528"/>
      <c r="P608" s="1528"/>
      <c r="Q608" s="844"/>
      <c r="R608" s="1528">
        <f>'2A Electricity regular'!R610</f>
        <v>21.546774193548387</v>
      </c>
      <c r="S608" s="1528"/>
      <c r="T608" s="1528"/>
      <c r="U608" s="844"/>
      <c r="V608" s="1528">
        <f>'2A Electricity regular'!V610</f>
        <v>20.179677419354839</v>
      </c>
      <c r="W608" s="1528"/>
      <c r="X608" s="1528"/>
      <c r="Y608" s="814"/>
      <c r="Z608" s="1519">
        <f t="shared" si="109"/>
        <v>20.383483870967741</v>
      </c>
      <c r="AA608" s="1519">
        <f t="shared" si="110"/>
        <v>9.1</v>
      </c>
      <c r="AB608" s="151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28">
        <f>'2A Electricity regular'!N611</f>
        <v>10.6</v>
      </c>
      <c r="O609" s="1528"/>
      <c r="P609" s="1528"/>
      <c r="Q609" s="844"/>
      <c r="R609" s="1528">
        <f>'2A Electricity regular'!R611</f>
        <v>12.3</v>
      </c>
      <c r="S609" s="1528"/>
      <c r="T609" s="1528"/>
      <c r="U609" s="844"/>
      <c r="V609" s="1528">
        <f>'2A Electricity regular'!V611</f>
        <v>11.4</v>
      </c>
      <c r="W609" s="1528"/>
      <c r="X609" s="1528"/>
      <c r="Y609" s="814"/>
      <c r="Z609" s="1519">
        <f t="shared" si="109"/>
        <v>11.433333333333332</v>
      </c>
      <c r="AA609" s="1519">
        <f t="shared" si="110"/>
        <v>9.1</v>
      </c>
      <c r="AB609" s="151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Ginevra</v>
      </c>
      <c r="I610" s="814"/>
      <c r="J610" s="814"/>
      <c r="K610" s="814"/>
      <c r="L610" s="814"/>
      <c r="M610" s="814"/>
      <c r="N610" s="1528">
        <f>'2A Electricity regular'!N612</f>
        <v>20.847356321839079</v>
      </c>
      <c r="O610" s="1528"/>
      <c r="P610" s="1528"/>
      <c r="Q610" s="844"/>
      <c r="R610" s="1528">
        <f>'2A Electricity regular'!R612</f>
        <v>23.107741935483865</v>
      </c>
      <c r="S610" s="1528"/>
      <c r="T610" s="1528"/>
      <c r="U610" s="844"/>
      <c r="V610" s="1528">
        <f>'2A Electricity regular'!V612</f>
        <v>21.791935483870972</v>
      </c>
      <c r="W610" s="1528"/>
      <c r="X610" s="1528"/>
      <c r="Y610" s="814"/>
      <c r="Z610" s="1519">
        <f t="shared" si="109"/>
        <v>21.915677913731304</v>
      </c>
      <c r="AA610" s="1519">
        <f t="shared" si="110"/>
        <v>9.1</v>
      </c>
      <c r="AB610" s="151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28">
        <f>'2A Electricity regular'!N613</f>
        <v>16.245333333333335</v>
      </c>
      <c r="O611" s="1528"/>
      <c r="P611" s="1528"/>
      <c r="Q611" s="844"/>
      <c r="R611" s="1528">
        <f>'2A Electricity regular'!R613</f>
        <v>18.256774193548388</v>
      </c>
      <c r="S611" s="1528"/>
      <c r="T611" s="1528"/>
      <c r="U611" s="844"/>
      <c r="V611" s="1528">
        <f>'2A Electricity regular'!V613</f>
        <v>17.132903225806452</v>
      </c>
      <c r="W611" s="1528"/>
      <c r="X611" s="1528"/>
      <c r="Y611" s="974"/>
      <c r="Z611" s="1519">
        <f t="shared" ref="Z611" si="112">(N611+R611+V611)/3</f>
        <v>17.211670250896059</v>
      </c>
      <c r="AA611" s="1519">
        <f t="shared" si="110"/>
        <v>9.1</v>
      </c>
      <c r="AB611" s="151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28">
        <f>'2A Electricity regular'!N614</f>
        <v>22.057333333333336</v>
      </c>
      <c r="O612" s="1528"/>
      <c r="P612" s="1528"/>
      <c r="Q612" s="844"/>
      <c r="R612" s="1528">
        <f>'2A Electricity regular'!R614</f>
        <v>24.600967741935484</v>
      </c>
      <c r="S612" s="1528"/>
      <c r="T612" s="1528"/>
      <c r="U612" s="844"/>
      <c r="V612" s="1528">
        <f>'2A Electricity regular'!V614</f>
        <v>23.465806451612902</v>
      </c>
      <c r="W612" s="1528"/>
      <c r="X612" s="1528"/>
      <c r="Y612" s="814"/>
      <c r="Z612" s="1519">
        <f t="shared" si="109"/>
        <v>23.374702508960578</v>
      </c>
      <c r="AA612" s="1519">
        <f t="shared" si="110"/>
        <v>9.1</v>
      </c>
      <c r="AB612" s="151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San Gallo</v>
      </c>
      <c r="I613" s="814"/>
      <c r="J613" s="814"/>
      <c r="K613" s="814"/>
      <c r="L613" s="814"/>
      <c r="M613" s="814"/>
      <c r="N613" s="1528">
        <f>'2A Electricity regular'!N615</f>
        <v>17.133333333333333</v>
      </c>
      <c r="O613" s="1528"/>
      <c r="P613" s="1528"/>
      <c r="Q613" s="844"/>
      <c r="R613" s="1528">
        <f>'2A Electricity regular'!R615</f>
        <v>19.345806451612908</v>
      </c>
      <c r="S613" s="1528"/>
      <c r="T613" s="1528"/>
      <c r="U613" s="844"/>
      <c r="V613" s="1528">
        <f>'2A Electricity regular'!V615</f>
        <v>18.054193548387097</v>
      </c>
      <c r="W613" s="1528"/>
      <c r="X613" s="1528"/>
      <c r="Y613" s="814"/>
      <c r="Z613" s="1519">
        <f t="shared" si="109"/>
        <v>18.177777777777781</v>
      </c>
      <c r="AA613" s="1519">
        <f t="shared" si="110"/>
        <v>9.1</v>
      </c>
      <c r="AB613" s="151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Zurigo</v>
      </c>
      <c r="I614" s="814"/>
      <c r="J614" s="814"/>
      <c r="K614" s="814"/>
      <c r="L614" s="814"/>
      <c r="M614" s="814"/>
      <c r="N614" s="1528">
        <f>'2A Electricity regular'!N616</f>
        <v>19.078666666666667</v>
      </c>
      <c r="O614" s="1528"/>
      <c r="P614" s="1528"/>
      <c r="Q614" s="844"/>
      <c r="R614" s="1528">
        <f>'2A Electricity regular'!R616</f>
        <v>21.119032258064514</v>
      </c>
      <c r="S614" s="1528"/>
      <c r="T614" s="1528"/>
      <c r="U614" s="844"/>
      <c r="V614" s="1528">
        <f>'2A Electricity regular'!V616</f>
        <v>19.77225806451613</v>
      </c>
      <c r="W614" s="1528"/>
      <c r="X614" s="1528"/>
      <c r="Y614" s="814"/>
      <c r="Z614" s="1519">
        <f t="shared" si="109"/>
        <v>19.98998566308244</v>
      </c>
      <c r="AA614" s="1519">
        <f t="shared" si="110"/>
        <v>9.1</v>
      </c>
      <c r="AB614" s="151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68" t="s">
        <v>149</v>
      </c>
      <c r="O616" s="1568"/>
      <c r="P616" s="1568"/>
      <c r="Q616" s="851"/>
      <c r="R616" s="1568" t="s">
        <v>150</v>
      </c>
      <c r="S616" s="1568"/>
      <c r="T616" s="1568"/>
      <c r="U616" s="851"/>
      <c r="V616" s="1568" t="s">
        <v>151</v>
      </c>
      <c r="W616" s="1568"/>
      <c r="X616" s="1568"/>
      <c r="Y616" s="843"/>
      <c r="Z616" s="1563" t="s">
        <v>155</v>
      </c>
      <c r="AA616" s="1563"/>
      <c r="AB616" s="1563"/>
      <c r="AC616" s="812"/>
      <c r="AD616" s="1561">
        <f>SUM(AD617:AF624)</f>
        <v>0</v>
      </c>
      <c r="AE616" s="1562"/>
      <c r="AF616" s="1562"/>
      <c r="AL616" s="1030"/>
      <c r="AM616" s="1031"/>
      <c r="AN616" s="1031"/>
      <c r="AO616" s="1031"/>
    </row>
    <row r="617" spans="8:41" s="63" customFormat="1" ht="16" hidden="1" outlineLevel="1" x14ac:dyDescent="0.15">
      <c r="H617" s="852" t="str">
        <f t="shared" ref="H617:H624" si="114">H596</f>
        <v>Basilea</v>
      </c>
      <c r="I617" s="814"/>
      <c r="J617" s="814"/>
      <c r="K617" s="814"/>
      <c r="L617" s="814"/>
      <c r="M617" s="814"/>
      <c r="N617" s="1528">
        <f>'2A Electricity regular'!N619</f>
        <v>17.377333333333333</v>
      </c>
      <c r="O617" s="1528"/>
      <c r="P617" s="1528"/>
      <c r="Q617" s="844"/>
      <c r="R617" s="1528">
        <f>'2A Electricity regular'!R619</f>
        <v>12.674193548387098</v>
      </c>
      <c r="S617" s="1528"/>
      <c r="T617" s="1528"/>
      <c r="U617" s="844"/>
      <c r="V617" s="1528">
        <f>'2A Electricity regular'!V619</f>
        <v>7.6366666666666649</v>
      </c>
      <c r="W617" s="1528"/>
      <c r="X617" s="1528"/>
      <c r="Y617" s="814"/>
      <c r="Z617" s="1519">
        <f t="shared" ref="Z617:Z624" si="115">(N617+R617+V617)/3</f>
        <v>12.5627311827957</v>
      </c>
      <c r="AA617" s="1519">
        <f t="shared" ref="AA617:AB624" si="116">(4.8+9.5+13)/3</f>
        <v>9.1</v>
      </c>
      <c r="AB617" s="151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Berna</v>
      </c>
      <c r="I618" s="814"/>
      <c r="J618" s="814"/>
      <c r="K618" s="814"/>
      <c r="L618" s="814"/>
      <c r="M618" s="814"/>
      <c r="N618" s="1528">
        <f>'2A Electricity regular'!N620</f>
        <v>16.302666666666667</v>
      </c>
      <c r="O618" s="1528"/>
      <c r="P618" s="1528"/>
      <c r="Q618" s="844"/>
      <c r="R618" s="1528">
        <f>'2A Electricity regular'!R620</f>
        <v>11.354193548387098</v>
      </c>
      <c r="S618" s="1528"/>
      <c r="T618" s="1528"/>
      <c r="U618" s="844"/>
      <c r="V618" s="1528">
        <f>'2A Electricity regular'!V620</f>
        <v>5.9429999999999996</v>
      </c>
      <c r="W618" s="1528"/>
      <c r="X618" s="1528"/>
      <c r="Y618" s="814"/>
      <c r="Z618" s="1519">
        <f t="shared" si="115"/>
        <v>11.199953405017922</v>
      </c>
      <c r="AA618" s="1519">
        <f t="shared" si="116"/>
        <v>9.1</v>
      </c>
      <c r="AB618" s="151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28">
        <f>'2A Electricity regular'!N621</f>
        <v>9.3000000000000007</v>
      </c>
      <c r="O619" s="1528"/>
      <c r="P619" s="1528"/>
      <c r="Q619" s="844"/>
      <c r="R619" s="1528">
        <f>'2A Electricity regular'!R621</f>
        <v>5.2</v>
      </c>
      <c r="S619" s="1528"/>
      <c r="T619" s="1528"/>
      <c r="U619" s="844"/>
      <c r="V619" s="1528">
        <f>'2A Electricity regular'!V621</f>
        <v>-0.6</v>
      </c>
      <c r="W619" s="1528"/>
      <c r="X619" s="1528"/>
      <c r="Y619" s="814"/>
      <c r="Z619" s="1519">
        <f t="shared" si="115"/>
        <v>4.6333333333333337</v>
      </c>
      <c r="AA619" s="1519">
        <f t="shared" si="116"/>
        <v>9.1</v>
      </c>
      <c r="AB619" s="151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Ginevra</v>
      </c>
      <c r="I620" s="814"/>
      <c r="J620" s="814"/>
      <c r="K620" s="814"/>
      <c r="L620" s="814"/>
      <c r="M620" s="814"/>
      <c r="N620" s="1528">
        <f>'2A Electricity regular'!N622</f>
        <v>17.806666666666665</v>
      </c>
      <c r="O620" s="1528"/>
      <c r="P620" s="1528"/>
      <c r="Q620" s="844"/>
      <c r="R620" s="1528">
        <f>'2A Electricity regular'!R622</f>
        <v>13.015483870967742</v>
      </c>
      <c r="S620" s="1528"/>
      <c r="T620" s="1528"/>
      <c r="U620" s="844"/>
      <c r="V620" s="1528">
        <f>'2A Electricity regular'!V622</f>
        <v>7.7520000000000007</v>
      </c>
      <c r="W620" s="1528"/>
      <c r="X620" s="1528"/>
      <c r="Y620" s="814"/>
      <c r="Z620" s="1519">
        <f t="shared" si="115"/>
        <v>12.858050179211469</v>
      </c>
      <c r="AA620" s="1519">
        <f t="shared" si="116"/>
        <v>9.1</v>
      </c>
      <c r="AB620" s="151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28">
        <f>'2A Electricity regular'!N623</f>
        <v>13.990666666666666</v>
      </c>
      <c r="O621" s="1528"/>
      <c r="P621" s="1528"/>
      <c r="Q621" s="844"/>
      <c r="R621" s="1528">
        <f>'2A Electricity regular'!R623</f>
        <v>10.139677419354841</v>
      </c>
      <c r="S621" s="1528"/>
      <c r="T621" s="1528"/>
      <c r="U621" s="844"/>
      <c r="V621" s="1528">
        <f>'2A Electricity regular'!V623</f>
        <v>5.2726666666666677</v>
      </c>
      <c r="W621" s="1528"/>
      <c r="X621" s="1528"/>
      <c r="Y621" s="974"/>
      <c r="Z621" s="1519">
        <f t="shared" ref="Z621" si="118">(N621+R621+V621)/3</f>
        <v>9.8010035842293917</v>
      </c>
      <c r="AA621" s="1519">
        <f t="shared" si="116"/>
        <v>9.1</v>
      </c>
      <c r="AB621" s="151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28">
        <f>'2A Electricity regular'!N624</f>
        <v>19.737666666666666</v>
      </c>
      <c r="O622" s="1528"/>
      <c r="P622" s="1528"/>
      <c r="Q622" s="844"/>
      <c r="R622" s="1528">
        <f>'2A Electricity regular'!R624</f>
        <v>14.745161290322581</v>
      </c>
      <c r="S622" s="1528"/>
      <c r="T622" s="1528"/>
      <c r="U622" s="844"/>
      <c r="V622" s="1528">
        <f>'2A Electricity regular'!V624</f>
        <v>9.6989999999999998</v>
      </c>
      <c r="W622" s="1528"/>
      <c r="X622" s="1528"/>
      <c r="Y622" s="814"/>
      <c r="Z622" s="1519">
        <f t="shared" si="115"/>
        <v>14.727275985663082</v>
      </c>
      <c r="AA622" s="1519">
        <f t="shared" si="116"/>
        <v>9.1</v>
      </c>
      <c r="AB622" s="151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San Gallo</v>
      </c>
      <c r="I623" s="814"/>
      <c r="J623" s="814"/>
      <c r="K623" s="814"/>
      <c r="L623" s="814"/>
      <c r="M623" s="814"/>
      <c r="N623" s="1528">
        <f>'2A Electricity regular'!N625</f>
        <v>14.250333333333336</v>
      </c>
      <c r="O623" s="1528"/>
      <c r="P623" s="1528"/>
      <c r="Q623" s="844"/>
      <c r="R623" s="1528">
        <f>'2A Electricity regular'!R625</f>
        <v>10.140420757363255</v>
      </c>
      <c r="S623" s="1528"/>
      <c r="T623" s="1528"/>
      <c r="U623" s="844"/>
      <c r="V623" s="1528">
        <f>'2A Electricity regular'!V625</f>
        <v>5.4262142857142859</v>
      </c>
      <c r="W623" s="1528"/>
      <c r="X623" s="1528"/>
      <c r="Y623" s="814"/>
      <c r="Z623" s="1519">
        <f t="shared" si="115"/>
        <v>9.9389894588036256</v>
      </c>
      <c r="AA623" s="1519">
        <f t="shared" si="116"/>
        <v>9.1</v>
      </c>
      <c r="AB623" s="151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Zurigo</v>
      </c>
      <c r="I624" s="814"/>
      <c r="J624" s="814"/>
      <c r="K624" s="814"/>
      <c r="L624" s="814"/>
      <c r="M624" s="814"/>
      <c r="N624" s="1528">
        <f>'2A Electricity regular'!N626</f>
        <v>16.004666666666665</v>
      </c>
      <c r="O624" s="1528"/>
      <c r="P624" s="1528"/>
      <c r="Q624" s="844"/>
      <c r="R624" s="1528">
        <f>'2A Electricity regular'!R626</f>
        <v>11.286129032258064</v>
      </c>
      <c r="S624" s="1528"/>
      <c r="T624" s="1528"/>
      <c r="U624" s="844"/>
      <c r="V624" s="1528">
        <f>'2A Electricity regular'!V626</f>
        <v>6.2376666666666658</v>
      </c>
      <c r="W624" s="1528"/>
      <c r="X624" s="1528"/>
      <c r="Y624" s="814"/>
      <c r="Z624" s="1519">
        <f t="shared" si="115"/>
        <v>11.176154121863798</v>
      </c>
      <c r="AA624" s="1519">
        <f t="shared" si="116"/>
        <v>9.1</v>
      </c>
      <c r="AB624" s="151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68" t="s">
        <v>152</v>
      </c>
      <c r="O626" s="1568"/>
      <c r="P626" s="1568"/>
      <c r="Q626" s="851"/>
      <c r="R626" s="1568" t="s">
        <v>153</v>
      </c>
      <c r="S626" s="1568"/>
      <c r="T626" s="1568"/>
      <c r="U626" s="851"/>
      <c r="V626" s="1568" t="s">
        <v>154</v>
      </c>
      <c r="W626" s="1568"/>
      <c r="X626" s="1568"/>
      <c r="Y626" s="843"/>
      <c r="Z626" s="1563" t="s">
        <v>155</v>
      </c>
      <c r="AA626" s="1563"/>
      <c r="AB626" s="1563"/>
      <c r="AC626" s="812"/>
      <c r="AD626" s="1561">
        <f>SUM(AD627:AF634)</f>
        <v>0</v>
      </c>
      <c r="AE626" s="1562"/>
      <c r="AF626" s="1562"/>
      <c r="AL626" s="1030"/>
      <c r="AM626" s="1031"/>
      <c r="AN626" s="1031"/>
      <c r="AO626" s="1031"/>
    </row>
    <row r="627" spans="8:68" s="63" customFormat="1" ht="16" hidden="1" outlineLevel="1" x14ac:dyDescent="0.15">
      <c r="H627" s="852" t="str">
        <f>H596</f>
        <v>Basilea</v>
      </c>
      <c r="I627" s="814"/>
      <c r="J627" s="814"/>
      <c r="K627" s="814"/>
      <c r="L627" s="814"/>
      <c r="M627" s="814"/>
      <c r="N627" s="1528">
        <f>'2A Electricity regular'!N629</f>
        <v>3.6141935483870959</v>
      </c>
      <c r="O627" s="1528"/>
      <c r="P627" s="1528"/>
      <c r="Q627" s="844"/>
      <c r="R627" s="1528">
        <f>'2A Electricity regular'!R629</f>
        <v>2.770322580645161</v>
      </c>
      <c r="S627" s="1528"/>
      <c r="T627" s="1528"/>
      <c r="U627" s="844"/>
      <c r="V627" s="1528">
        <f>'2A Electricity regular'!V629</f>
        <v>3.4915640394088667</v>
      </c>
      <c r="W627" s="1528"/>
      <c r="X627" s="1528"/>
      <c r="Y627" s="814"/>
      <c r="Z627" s="1519">
        <f t="shared" ref="Z627:Z634" si="120">(N627+R627+V627)/3</f>
        <v>3.2920267228137079</v>
      </c>
      <c r="AA627" s="1519">
        <f t="shared" ref="AA627:AB634" si="121">(4.8+9.5+13)/3</f>
        <v>9.1</v>
      </c>
      <c r="AB627" s="151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Berna</v>
      </c>
      <c r="I628" s="814"/>
      <c r="J628" s="814"/>
      <c r="K628" s="814"/>
      <c r="L628" s="814"/>
      <c r="M628" s="814"/>
      <c r="N628" s="1528">
        <f>'2A Electricity regular'!N630</f>
        <v>1.5970967741935485</v>
      </c>
      <c r="O628" s="1528"/>
      <c r="P628" s="1528"/>
      <c r="Q628" s="844"/>
      <c r="R628" s="1528">
        <f>'2A Electricity regular'!R630</f>
        <v>1.0629032258064512</v>
      </c>
      <c r="S628" s="1528"/>
      <c r="T628" s="1528"/>
      <c r="U628" s="844"/>
      <c r="V628" s="1528">
        <f>'2A Electricity regular'!V630</f>
        <v>1.662992610837438</v>
      </c>
      <c r="W628" s="1528"/>
      <c r="X628" s="1528"/>
      <c r="Y628" s="814"/>
      <c r="Z628" s="1519">
        <f t="shared" si="120"/>
        <v>1.4409975369458126</v>
      </c>
      <c r="AA628" s="1519">
        <f t="shared" si="121"/>
        <v>9.1</v>
      </c>
      <c r="AB628" s="151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28">
        <f>'2A Electricity regular'!N631</f>
        <v>-6</v>
      </c>
      <c r="O629" s="1528"/>
      <c r="P629" s="1528"/>
      <c r="Q629" s="844"/>
      <c r="R629" s="1528">
        <f>'2A Electricity regular'!R631</f>
        <v>-6.2</v>
      </c>
      <c r="S629" s="1528"/>
      <c r="T629" s="1528"/>
      <c r="U629" s="844"/>
      <c r="V629" s="1528">
        <f>'2A Electricity regular'!V631</f>
        <v>-5.4</v>
      </c>
      <c r="W629" s="1528"/>
      <c r="X629" s="1528"/>
      <c r="Y629" s="814"/>
      <c r="Z629" s="1519">
        <f t="shared" si="120"/>
        <v>-5.8666666666666671</v>
      </c>
      <c r="AA629" s="1519">
        <f t="shared" si="121"/>
        <v>9.1</v>
      </c>
      <c r="AB629" s="1519">
        <f t="shared" si="121"/>
        <v>9.1</v>
      </c>
      <c r="AC629" s="845"/>
      <c r="AD629" s="1520">
        <f t="shared" si="122"/>
        <v>0</v>
      </c>
      <c r="AE629" s="1520"/>
      <c r="AF629" s="1520"/>
      <c r="AL629" s="1031"/>
      <c r="AM629" s="1031"/>
      <c r="AN629" s="1031"/>
      <c r="AO629" s="1031"/>
    </row>
    <row r="630" spans="8:68" s="63" customFormat="1" ht="16" hidden="1" outlineLevel="1" x14ac:dyDescent="0.15">
      <c r="H630" s="852" t="str">
        <f>H599</f>
        <v>Ginevra</v>
      </c>
      <c r="I630" s="814"/>
      <c r="J630" s="814"/>
      <c r="K630" s="814"/>
      <c r="L630" s="814"/>
      <c r="M630" s="814"/>
      <c r="N630" s="1528">
        <f>'2A Electricity regular'!N632</f>
        <v>3.4409677419354834</v>
      </c>
      <c r="O630" s="1528"/>
      <c r="P630" s="1528"/>
      <c r="Q630" s="844"/>
      <c r="R630" s="1528">
        <f>'2A Electricity regular'!R632</f>
        <v>2.9022580645161296</v>
      </c>
      <c r="S630" s="1528"/>
      <c r="T630" s="1528"/>
      <c r="U630" s="844"/>
      <c r="V630" s="1528">
        <f>'2A Electricity regular'!V632</f>
        <v>3.4457389162561567</v>
      </c>
      <c r="W630" s="1528"/>
      <c r="X630" s="1528"/>
      <c r="Y630" s="814"/>
      <c r="Z630" s="1519">
        <f t="shared" si="120"/>
        <v>3.2629882409025903</v>
      </c>
      <c r="AA630" s="1519">
        <f t="shared" si="121"/>
        <v>9.1</v>
      </c>
      <c r="AB630" s="151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28">
        <f>'2A Electricity regular'!N633</f>
        <v>0.7338709677419355</v>
      </c>
      <c r="O631" s="1528"/>
      <c r="P631" s="1528"/>
      <c r="Q631" s="844"/>
      <c r="R631" s="1528">
        <f>'2A Electricity regular'!R633</f>
        <v>-0.36354838709677451</v>
      </c>
      <c r="S631" s="1528"/>
      <c r="T631" s="1528"/>
      <c r="U631" s="844"/>
      <c r="V631" s="1528">
        <f>'2A Electricity regular'!V633</f>
        <v>6.6551724137930895E-2</v>
      </c>
      <c r="W631" s="1528"/>
      <c r="X631" s="1528"/>
      <c r="Y631" s="974"/>
      <c r="Z631" s="1519">
        <f t="shared" ref="Z631" si="123">(N631+R631+V631)/3</f>
        <v>0.14562476826103063</v>
      </c>
      <c r="AA631" s="1519">
        <f t="shared" si="121"/>
        <v>9.1</v>
      </c>
      <c r="AB631" s="151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28">
        <f>'2A Electricity regular'!N634</f>
        <v>5.60516129032258</v>
      </c>
      <c r="O632" s="1528"/>
      <c r="P632" s="1528"/>
      <c r="Q632" s="844"/>
      <c r="R632" s="1528">
        <f>'2A Electricity regular'!R634</f>
        <v>4.7138709677419355</v>
      </c>
      <c r="S632" s="1528"/>
      <c r="T632" s="1528"/>
      <c r="U632" s="844"/>
      <c r="V632" s="1528">
        <f>'2A Electricity regular'!V634</f>
        <v>5.580492610837438</v>
      </c>
      <c r="W632" s="1528"/>
      <c r="X632" s="1528"/>
      <c r="Y632" s="814"/>
      <c r="Z632" s="1519">
        <f t="shared" si="120"/>
        <v>5.2998416229673175</v>
      </c>
      <c r="AA632" s="1519">
        <f t="shared" si="121"/>
        <v>9.1</v>
      </c>
      <c r="AB632" s="1519">
        <f t="shared" si="121"/>
        <v>9.1</v>
      </c>
      <c r="AC632" s="845"/>
      <c r="AD632" s="1520">
        <f t="shared" si="122"/>
        <v>0</v>
      </c>
      <c r="AE632" s="1520"/>
      <c r="AF632" s="1520"/>
      <c r="AL632" s="1030"/>
      <c r="AM632" s="1031"/>
      <c r="AN632" s="1031"/>
      <c r="AO632" s="1031"/>
    </row>
    <row r="633" spans="8:68" s="63" customFormat="1" ht="16" hidden="1" outlineLevel="1" x14ac:dyDescent="0.15">
      <c r="H633" s="852" t="str">
        <f>H602</f>
        <v>San Gallo</v>
      </c>
      <c r="I633" s="814"/>
      <c r="J633" s="814"/>
      <c r="K633" s="814"/>
      <c r="L633" s="814"/>
      <c r="M633" s="814"/>
      <c r="N633" s="1528">
        <f>'2A Electricity regular'!N635</f>
        <v>1.8374193548387097</v>
      </c>
      <c r="O633" s="1528"/>
      <c r="P633" s="1528"/>
      <c r="Q633" s="844"/>
      <c r="R633" s="1528">
        <f>'2A Electricity regular'!R635</f>
        <v>0.37225806451612903</v>
      </c>
      <c r="S633" s="1528"/>
      <c r="T633" s="1528"/>
      <c r="U633" s="844"/>
      <c r="V633" s="1528">
        <f>'2A Electricity regular'!V635</f>
        <v>0.58261083743842368</v>
      </c>
      <c r="W633" s="1528"/>
      <c r="X633" s="1528"/>
      <c r="Y633" s="814"/>
      <c r="Z633" s="1519">
        <f t="shared" si="120"/>
        <v>0.93076275226442073</v>
      </c>
      <c r="AA633" s="1519">
        <f t="shared" si="121"/>
        <v>9.1</v>
      </c>
      <c r="AB633" s="1519">
        <f t="shared" si="121"/>
        <v>9.1</v>
      </c>
      <c r="AC633" s="845"/>
      <c r="AD633" s="1520">
        <f t="shared" si="122"/>
        <v>0</v>
      </c>
      <c r="AE633" s="1520"/>
      <c r="AF633" s="1520"/>
      <c r="AL633" s="1030"/>
      <c r="AM633" s="1031"/>
      <c r="AN633" s="1031"/>
      <c r="AO633" s="1031"/>
    </row>
    <row r="634" spans="8:68" s="63" customFormat="1" ht="16" hidden="1" outlineLevel="1" x14ac:dyDescent="0.15">
      <c r="H634" s="852" t="str">
        <f>H603</f>
        <v>Zurigo</v>
      </c>
      <c r="I634" s="814"/>
      <c r="J634" s="814"/>
      <c r="K634" s="814"/>
      <c r="L634" s="814"/>
      <c r="M634" s="814"/>
      <c r="N634" s="1528">
        <f>'2A Electricity regular'!N636</f>
        <v>2.2954838709677423</v>
      </c>
      <c r="O634" s="1528"/>
      <c r="P634" s="1528"/>
      <c r="Q634" s="844"/>
      <c r="R634" s="1528">
        <f>'2A Electricity regular'!R636</f>
        <v>1.4409677419354838</v>
      </c>
      <c r="S634" s="1528"/>
      <c r="T634" s="1528"/>
      <c r="U634" s="844"/>
      <c r="V634" s="1528">
        <f>'2A Electricity regular'!V636</f>
        <v>1.9078571428571434</v>
      </c>
      <c r="W634" s="1528"/>
      <c r="X634" s="1528"/>
      <c r="Y634" s="814"/>
      <c r="Z634" s="1519">
        <f t="shared" si="120"/>
        <v>1.8814362519201231</v>
      </c>
      <c r="AA634" s="1519">
        <f t="shared" si="121"/>
        <v>9.1</v>
      </c>
      <c r="AB634" s="151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39" t="s">
        <v>94</v>
      </c>
      <c r="Y640" s="1539"/>
      <c r="Z640" s="1539"/>
      <c r="AB640" s="1539" t="s">
        <v>97</v>
      </c>
      <c r="AC640" s="1539"/>
      <c r="AD640" s="1539"/>
      <c r="AF640" s="1539" t="s">
        <v>98</v>
      </c>
      <c r="AG640" s="1539"/>
      <c r="AH640" s="1539"/>
      <c r="AJ640" s="1539" t="s">
        <v>99</v>
      </c>
      <c r="AK640" s="1539"/>
      <c r="AL640" s="1539"/>
      <c r="AN640" s="1539" t="s">
        <v>101</v>
      </c>
      <c r="AO640" s="1539"/>
      <c r="AP640" s="1539"/>
      <c r="AQ640" s="835"/>
      <c r="AV640" s="1539" t="s">
        <v>94</v>
      </c>
      <c r="AW640" s="1539"/>
      <c r="AX640" s="1539"/>
      <c r="AZ640" s="1539" t="s">
        <v>97</v>
      </c>
      <c r="BA640" s="1539"/>
      <c r="BB640" s="1539"/>
      <c r="BD640" s="1539" t="s">
        <v>98</v>
      </c>
      <c r="BE640" s="1539"/>
      <c r="BF640" s="1539"/>
      <c r="BH640" s="1539" t="s">
        <v>99</v>
      </c>
      <c r="BI640" s="1539"/>
      <c r="BJ640" s="1539"/>
      <c r="BL640" s="1539" t="s">
        <v>101</v>
      </c>
      <c r="BM640" s="1539"/>
      <c r="BN640" s="1539"/>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39">
        <f>'2A Electricity regular'!X642</f>
        <v>0.06</v>
      </c>
      <c r="Y641" s="1539"/>
      <c r="Z641" s="1539"/>
      <c r="AB641" s="1539">
        <f>'2A Electricity regular'!AB642</f>
        <v>0.66320000000000001</v>
      </c>
      <c r="AC641" s="1539"/>
      <c r="AD641" s="1539"/>
      <c r="AF641" s="1539">
        <f>'2A Electricity regular'!AF642</f>
        <v>0.19</v>
      </c>
      <c r="AG641" s="1539"/>
      <c r="AH641" s="1539"/>
      <c r="AJ641" s="1539">
        <f>'2A Electricity regular'!AJ642</f>
        <v>0</v>
      </c>
      <c r="AK641" s="1539"/>
      <c r="AL641" s="1539"/>
      <c r="AN641" s="1539">
        <f>AN643/AN642</f>
        <v>0.22830000000000003</v>
      </c>
      <c r="AO641" s="1539"/>
      <c r="AP641" s="1539"/>
      <c r="AQ641" s="835"/>
      <c r="AV641" s="1539">
        <f>X641</f>
        <v>0.06</v>
      </c>
      <c r="AW641" s="1539"/>
      <c r="AX641" s="1539"/>
      <c r="AZ641" s="1539">
        <f>AB641</f>
        <v>0.66320000000000001</v>
      </c>
      <c r="BA641" s="1539"/>
      <c r="BB641" s="1539"/>
      <c r="BD641" s="1539">
        <f>AF641</f>
        <v>0.19</v>
      </c>
      <c r="BE641" s="1539"/>
      <c r="BF641" s="1539"/>
      <c r="BH641" s="1539">
        <f>AJ641</f>
        <v>0</v>
      </c>
      <c r="BI641" s="1539"/>
      <c r="BJ641" s="1539"/>
      <c r="BL641" s="1539">
        <f>AN641</f>
        <v>0.22830000000000003</v>
      </c>
      <c r="BM641" s="1539"/>
      <c r="BN641" s="1539"/>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40">
        <v>2190</v>
      </c>
      <c r="Y642" s="1540"/>
      <c r="Z642" s="1540"/>
      <c r="AB642" s="1540">
        <v>2190</v>
      </c>
      <c r="AC642" s="1540"/>
      <c r="AD642" s="1540"/>
      <c r="AF642" s="1540">
        <v>2190</v>
      </c>
      <c r="AG642" s="1540"/>
      <c r="AH642" s="1540"/>
      <c r="AJ642" s="1540">
        <v>2190</v>
      </c>
      <c r="AK642" s="1540"/>
      <c r="AL642" s="1540"/>
      <c r="AN642" s="1540">
        <f>SUM(X642:AL642)</f>
        <v>8760</v>
      </c>
      <c r="AO642" s="1540"/>
      <c r="AP642" s="1540"/>
      <c r="AQ642" s="856"/>
      <c r="AV642" s="1540">
        <f>X642</f>
        <v>2190</v>
      </c>
      <c r="AW642" s="1540"/>
      <c r="AX642" s="1540"/>
      <c r="AZ642" s="1540">
        <f>AB642</f>
        <v>2190</v>
      </c>
      <c r="BA642" s="1540"/>
      <c r="BB642" s="1540"/>
      <c r="BD642" s="1540">
        <f>AF642</f>
        <v>2190</v>
      </c>
      <c r="BE642" s="1540"/>
      <c r="BF642" s="1540"/>
      <c r="BH642" s="1540">
        <f>AJ642</f>
        <v>2190</v>
      </c>
      <c r="BI642" s="1540"/>
      <c r="BJ642" s="1540"/>
      <c r="BL642" s="1540">
        <f>AN642</f>
        <v>8760</v>
      </c>
      <c r="BM642" s="1540"/>
      <c r="BN642" s="1540"/>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40">
        <f>X641*X642</f>
        <v>131.4</v>
      </c>
      <c r="Y643" s="1540"/>
      <c r="Z643" s="1540"/>
      <c r="AB643" s="1540">
        <f>AB641*AB642</f>
        <v>1452.4080000000001</v>
      </c>
      <c r="AC643" s="1540"/>
      <c r="AD643" s="1540"/>
      <c r="AF643" s="1540">
        <f>AF641*AF642</f>
        <v>416.1</v>
      </c>
      <c r="AG643" s="1540"/>
      <c r="AH643" s="1540"/>
      <c r="AJ643" s="1540">
        <f>AJ641*AJ642</f>
        <v>0</v>
      </c>
      <c r="AK643" s="1540"/>
      <c r="AL643" s="1540"/>
      <c r="AN643" s="1540">
        <f>SUM(X643:AL643)</f>
        <v>1999.9080000000004</v>
      </c>
      <c r="AO643" s="1540"/>
      <c r="AP643" s="1540"/>
      <c r="AQ643" s="856"/>
      <c r="AV643" s="1540">
        <f>X643</f>
        <v>131.4</v>
      </c>
      <c r="AW643" s="1540"/>
      <c r="AX643" s="1540"/>
      <c r="AZ643" s="1540">
        <f>AB643</f>
        <v>1452.4080000000001</v>
      </c>
      <c r="BA643" s="1540"/>
      <c r="BB643" s="1540"/>
      <c r="BD643" s="1540">
        <f>AF643</f>
        <v>416.1</v>
      </c>
      <c r="BE643" s="1540"/>
      <c r="BF643" s="1540"/>
      <c r="BH643" s="1540">
        <f>AJ643</f>
        <v>0</v>
      </c>
      <c r="BI643" s="1540"/>
      <c r="BJ643" s="1540"/>
      <c r="BL643" s="1540">
        <f>AN643</f>
        <v>1999.9080000000004</v>
      </c>
      <c r="BM643" s="1540"/>
      <c r="BN643" s="1540"/>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39" t="s">
        <v>94</v>
      </c>
      <c r="Y647" s="1539"/>
      <c r="Z647" s="1539"/>
      <c r="AB647" s="1539" t="s">
        <v>97</v>
      </c>
      <c r="AC647" s="1539"/>
      <c r="AD647" s="1539"/>
      <c r="AF647" s="1539" t="s">
        <v>98</v>
      </c>
      <c r="AG647" s="1539"/>
      <c r="AH647" s="1539"/>
      <c r="AJ647" s="1539" t="s">
        <v>99</v>
      </c>
      <c r="AK647" s="1539"/>
      <c r="AL647" s="1539"/>
      <c r="AN647" s="1539" t="s">
        <v>101</v>
      </c>
      <c r="AO647" s="1539"/>
      <c r="AP647" s="1539"/>
      <c r="AQ647" s="835"/>
      <c r="AV647" s="1539" t="s">
        <v>94</v>
      </c>
      <c r="AW647" s="1539"/>
      <c r="AX647" s="1539"/>
      <c r="AZ647" s="1539" t="s">
        <v>97</v>
      </c>
      <c r="BA647" s="1539"/>
      <c r="BB647" s="1539"/>
      <c r="BD647" s="1539" t="s">
        <v>98</v>
      </c>
      <c r="BE647" s="1539"/>
      <c r="BF647" s="1539"/>
      <c r="BH647" s="1539" t="s">
        <v>99</v>
      </c>
      <c r="BI647" s="1539"/>
      <c r="BJ647" s="1539"/>
      <c r="BL647" s="1539" t="s">
        <v>101</v>
      </c>
      <c r="BM647" s="1539"/>
      <c r="BN647" s="1539"/>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39">
        <f>'2A Electricity regular'!X645</f>
        <v>0.83895188476861782</v>
      </c>
      <c r="Y648" s="1539"/>
      <c r="Z648" s="1539"/>
      <c r="AB648" s="1539">
        <f>'2A Electricity regular'!AB645</f>
        <v>0.90790683420165497</v>
      </c>
      <c r="AC648" s="1539"/>
      <c r="AD648" s="1539"/>
      <c r="AF648" s="1539">
        <f>'2A Electricity regular'!AF645</f>
        <v>0.85044437634079073</v>
      </c>
      <c r="AG648" s="1539"/>
      <c r="AH648" s="1539"/>
      <c r="AJ648" s="1539">
        <f>'2A Electricity regular'!AJ645</f>
        <v>0.82745939319644501</v>
      </c>
      <c r="AK648" s="1539"/>
      <c r="AL648" s="1539"/>
      <c r="AN648" s="1539">
        <f>AN650/AN649</f>
        <v>0.85619062212687702</v>
      </c>
      <c r="AO648" s="1539"/>
      <c r="AP648" s="1539"/>
      <c r="AQ648" s="835"/>
      <c r="AV648" s="1539">
        <f>X648</f>
        <v>0.83895188476861782</v>
      </c>
      <c r="AW648" s="1539"/>
      <c r="AX648" s="1539"/>
      <c r="AZ648" s="1539">
        <f>AB648</f>
        <v>0.90790683420165497</v>
      </c>
      <c r="BA648" s="1539"/>
      <c r="BB648" s="1539"/>
      <c r="BD648" s="1539">
        <f>AF648</f>
        <v>0.85044437634079073</v>
      </c>
      <c r="BE648" s="1539"/>
      <c r="BF648" s="1539"/>
      <c r="BH648" s="1539">
        <f>AJ648</f>
        <v>0.82745939319644501</v>
      </c>
      <c r="BI648" s="1539"/>
      <c r="BJ648" s="1539"/>
      <c r="BL648" s="1539">
        <f>AN648</f>
        <v>0.85619062212687702</v>
      </c>
      <c r="BM648" s="1539"/>
      <c r="BN648" s="1539"/>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40">
        <v>2190</v>
      </c>
      <c r="Y649" s="1540"/>
      <c r="Z649" s="1540"/>
      <c r="AB649" s="1540">
        <v>2190</v>
      </c>
      <c r="AC649" s="1540"/>
      <c r="AD649" s="1540"/>
      <c r="AF649" s="1540">
        <v>2190</v>
      </c>
      <c r="AG649" s="1540"/>
      <c r="AH649" s="1540"/>
      <c r="AJ649" s="1540">
        <v>2190</v>
      </c>
      <c r="AK649" s="1540"/>
      <c r="AL649" s="1540"/>
      <c r="AN649" s="1540">
        <f>SUM(X649:AL649)</f>
        <v>8760</v>
      </c>
      <c r="AO649" s="1540"/>
      <c r="AP649" s="1540"/>
      <c r="AQ649" s="856"/>
      <c r="AV649" s="1540">
        <f>X649</f>
        <v>2190</v>
      </c>
      <c r="AW649" s="1540"/>
      <c r="AX649" s="1540"/>
      <c r="AZ649" s="1540">
        <f>AB649</f>
        <v>2190</v>
      </c>
      <c r="BA649" s="1540"/>
      <c r="BB649" s="1540"/>
      <c r="BD649" s="1540">
        <f>AF649</f>
        <v>2190</v>
      </c>
      <c r="BE649" s="1540"/>
      <c r="BF649" s="1540"/>
      <c r="BH649" s="1540">
        <f>AJ649</f>
        <v>2190</v>
      </c>
      <c r="BI649" s="1540"/>
      <c r="BJ649" s="1540"/>
      <c r="BL649" s="1540">
        <f>AN649</f>
        <v>8760</v>
      </c>
      <c r="BM649" s="1540"/>
      <c r="BN649" s="1540"/>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40">
        <f>X648*X649</f>
        <v>1837.3046276432731</v>
      </c>
      <c r="Y650" s="1540"/>
      <c r="Z650" s="1540"/>
      <c r="AB650" s="1540">
        <f>AB648*AB649</f>
        <v>1988.3159669016243</v>
      </c>
      <c r="AC650" s="1540"/>
      <c r="AD650" s="1540"/>
      <c r="AF650" s="1540">
        <f>AF648*AF649</f>
        <v>1862.4731841863318</v>
      </c>
      <c r="AG650" s="1540"/>
      <c r="AH650" s="1540"/>
      <c r="AJ650" s="1540">
        <f>AJ648*AJ649</f>
        <v>1812.1360711002146</v>
      </c>
      <c r="AK650" s="1540"/>
      <c r="AL650" s="1540"/>
      <c r="AN650" s="1540">
        <f>SUM(X650:AL650)</f>
        <v>7500.2298498314431</v>
      </c>
      <c r="AO650" s="1540"/>
      <c r="AP650" s="1540"/>
      <c r="AQ650" s="856"/>
      <c r="AV650" s="1540">
        <f>X650</f>
        <v>1837.3046276432731</v>
      </c>
      <c r="AW650" s="1540"/>
      <c r="AX650" s="1540"/>
      <c r="AZ650" s="1540">
        <f>AB650</f>
        <v>1988.3159669016243</v>
      </c>
      <c r="BA650" s="1540"/>
      <c r="BB650" s="1540"/>
      <c r="BD650" s="1540">
        <f>AF650</f>
        <v>1862.4731841863318</v>
      </c>
      <c r="BE650" s="1540"/>
      <c r="BF650" s="1540"/>
      <c r="BH650" s="1540">
        <f>AJ650</f>
        <v>1812.1360711002146</v>
      </c>
      <c r="BI650" s="1540"/>
      <c r="BJ650" s="1540"/>
      <c r="BL650" s="1540">
        <f>AN650</f>
        <v>7500.2298498314431</v>
      </c>
      <c r="BM650" s="1540"/>
      <c r="BN650" s="1540"/>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39" t="s">
        <v>94</v>
      </c>
      <c r="Y655" s="1539"/>
      <c r="Z655" s="1539"/>
      <c r="AB655" s="1539" t="s">
        <v>97</v>
      </c>
      <c r="AC655" s="1539"/>
      <c r="AD655" s="1539"/>
      <c r="AF655" s="1539" t="s">
        <v>98</v>
      </c>
      <c r="AG655" s="1539"/>
      <c r="AH655" s="1539"/>
      <c r="AJ655" s="1539" t="s">
        <v>99</v>
      </c>
      <c r="AK655" s="1539"/>
      <c r="AL655" s="1539"/>
      <c r="AN655" s="1539" t="s">
        <v>101</v>
      </c>
      <c r="AO655" s="1539"/>
      <c r="AP655" s="1539"/>
      <c r="AQ655" s="835"/>
      <c r="AV655" s="1539" t="s">
        <v>94</v>
      </c>
      <c r="AW655" s="1539"/>
      <c r="AX655" s="1539"/>
      <c r="AZ655" s="1539" t="s">
        <v>97</v>
      </c>
      <c r="BA655" s="1539"/>
      <c r="BB655" s="1539"/>
      <c r="BD655" s="1539" t="s">
        <v>98</v>
      </c>
      <c r="BE655" s="1539"/>
      <c r="BF655" s="1539"/>
      <c r="BH655" s="1539" t="s">
        <v>99</v>
      </c>
      <c r="BI655" s="1539"/>
      <c r="BJ655" s="1539"/>
      <c r="BL655" s="1539" t="s">
        <v>101</v>
      </c>
      <c r="BM655" s="1539"/>
      <c r="BN655" s="1539"/>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39">
        <f>IF($N$655=$N$640,X641,IF($N$655=$N$647,X648,0))</f>
        <v>0</v>
      </c>
      <c r="Y656" s="1539"/>
      <c r="Z656" s="1539"/>
      <c r="AB656" s="1539">
        <f>IF($N$655=$N$640,AB641,IF($N$655=$N$647,AB648,0))</f>
        <v>0</v>
      </c>
      <c r="AC656" s="1539"/>
      <c r="AD656" s="1539"/>
      <c r="AF656" s="1539">
        <f>IF($N$655=$N$640,AF641,IF($N$655=$N$647,AF648,0))</f>
        <v>0</v>
      </c>
      <c r="AG656" s="1539"/>
      <c r="AH656" s="1539"/>
      <c r="AJ656" s="1539">
        <f>IF($N$655=$N$640,AJ641,IF($N$655=$N$647,AJ648,0))</f>
        <v>0</v>
      </c>
      <c r="AK656" s="1539"/>
      <c r="AL656" s="1539"/>
      <c r="AN656" s="1539">
        <f>IF($N$655=$N$640,AN641,IF($N$655=$N$647,AN648,0))</f>
        <v>0</v>
      </c>
      <c r="AO656" s="1539"/>
      <c r="AP656" s="1539"/>
      <c r="AQ656" s="835"/>
      <c r="AV656" s="1539">
        <f>X656</f>
        <v>0</v>
      </c>
      <c r="AW656" s="1539"/>
      <c r="AX656" s="1539"/>
      <c r="AZ656" s="1539">
        <f>AB656</f>
        <v>0</v>
      </c>
      <c r="BA656" s="1539"/>
      <c r="BB656" s="1539"/>
      <c r="BD656" s="1539">
        <f>AF656</f>
        <v>0</v>
      </c>
      <c r="BE656" s="1539"/>
      <c r="BF656" s="1539"/>
      <c r="BH656" s="1539">
        <f>AJ656</f>
        <v>0</v>
      </c>
      <c r="BI656" s="1539"/>
      <c r="BJ656" s="1539"/>
      <c r="BL656" s="1539">
        <f>AN656</f>
        <v>0</v>
      </c>
      <c r="BM656" s="1539"/>
      <c r="BN656" s="1539"/>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40">
        <v>2190</v>
      </c>
      <c r="Y657" s="1540"/>
      <c r="Z657" s="1540"/>
      <c r="AB657" s="1540">
        <v>2190</v>
      </c>
      <c r="AC657" s="1540"/>
      <c r="AD657" s="1540"/>
      <c r="AF657" s="1540">
        <v>2190</v>
      </c>
      <c r="AG657" s="1540"/>
      <c r="AH657" s="1540"/>
      <c r="AJ657" s="1540">
        <v>2190</v>
      </c>
      <c r="AK657" s="1540"/>
      <c r="AL657" s="1540"/>
      <c r="AN657" s="1540">
        <f>SUM(X657:AL657)</f>
        <v>8760</v>
      </c>
      <c r="AO657" s="1540"/>
      <c r="AP657" s="1540"/>
      <c r="AQ657" s="856"/>
      <c r="AV657" s="1540">
        <f>X657</f>
        <v>2190</v>
      </c>
      <c r="AW657" s="1540"/>
      <c r="AX657" s="1540"/>
      <c r="AZ657" s="1540">
        <f>AB657</f>
        <v>2190</v>
      </c>
      <c r="BA657" s="1540"/>
      <c r="BB657" s="1540"/>
      <c r="BD657" s="1540">
        <f>AF657</f>
        <v>2190</v>
      </c>
      <c r="BE657" s="1540"/>
      <c r="BF657" s="1540"/>
      <c r="BH657" s="1540">
        <f>AJ657</f>
        <v>2190</v>
      </c>
      <c r="BI657" s="1540"/>
      <c r="BJ657" s="1540"/>
      <c r="BL657" s="1540">
        <f>AN657</f>
        <v>8760</v>
      </c>
      <c r="BM657" s="1540"/>
      <c r="BN657" s="1540"/>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40">
        <f>X656*X657</f>
        <v>0</v>
      </c>
      <c r="Y658" s="1540"/>
      <c r="Z658" s="1540"/>
      <c r="AB658" s="1540">
        <f>AB656*AB657</f>
        <v>0</v>
      </c>
      <c r="AC658" s="1540"/>
      <c r="AD658" s="1540"/>
      <c r="AF658" s="1540">
        <f>AF656*AF657</f>
        <v>0</v>
      </c>
      <c r="AG658" s="1540"/>
      <c r="AH658" s="1540"/>
      <c r="AJ658" s="1540">
        <f>AJ656*AJ657</f>
        <v>0</v>
      </c>
      <c r="AK658" s="1540"/>
      <c r="AL658" s="1540"/>
      <c r="AN658" s="1540">
        <f>SUM(X658:AL658)</f>
        <v>0</v>
      </c>
      <c r="AO658" s="1540"/>
      <c r="AP658" s="1540"/>
      <c r="AQ658" s="856"/>
      <c r="AV658" s="1540">
        <f>X658</f>
        <v>0</v>
      </c>
      <c r="AW658" s="1540"/>
      <c r="AX658" s="1540"/>
      <c r="AZ658" s="1540">
        <f>AB658</f>
        <v>0</v>
      </c>
      <c r="BA658" s="1540"/>
      <c r="BB658" s="1540"/>
      <c r="BD658" s="1540">
        <f>AF658</f>
        <v>0</v>
      </c>
      <c r="BE658" s="1540"/>
      <c r="BF658" s="1540"/>
      <c r="BH658" s="1540">
        <f>AJ658</f>
        <v>0</v>
      </c>
      <c r="BI658" s="1540"/>
      <c r="BJ658" s="1540"/>
      <c r="BL658" s="1540">
        <f>AN658</f>
        <v>0</v>
      </c>
      <c r="BM658" s="1540"/>
      <c r="BN658" s="1540"/>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55">
        <f>AN218</f>
        <v>0</v>
      </c>
      <c r="Y660" s="1555"/>
      <c r="Z660" s="1555"/>
      <c r="AB660" s="1555">
        <f>X660</f>
        <v>0</v>
      </c>
      <c r="AC660" s="1555"/>
      <c r="AD660" s="1555"/>
      <c r="AF660" s="1555">
        <f>AB660</f>
        <v>0</v>
      </c>
      <c r="AG660" s="1555"/>
      <c r="AH660" s="1555"/>
      <c r="AJ660" s="1555">
        <f>AF660</f>
        <v>0</v>
      </c>
      <c r="AK660" s="1555"/>
      <c r="AL660" s="1555"/>
      <c r="AN660" s="860"/>
      <c r="AO660" s="860"/>
      <c r="AP660" s="860"/>
      <c r="AQ660" s="835"/>
      <c r="AV660" s="1555">
        <f>BL218</f>
        <v>0</v>
      </c>
      <c r="AW660" s="1555"/>
      <c r="AX660" s="1555"/>
      <c r="AZ660" s="1555">
        <f>AV660</f>
        <v>0</v>
      </c>
      <c r="BA660" s="1555"/>
      <c r="BB660" s="1555"/>
      <c r="BD660" s="1555">
        <f>AZ660</f>
        <v>0</v>
      </c>
      <c r="BE660" s="1555"/>
      <c r="BF660" s="1555"/>
      <c r="BH660" s="1555">
        <f>BD660</f>
        <v>0</v>
      </c>
      <c r="BI660" s="1555"/>
      <c r="BJ660" s="1555"/>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40">
        <f>IF(X660=0,0,X658/X660)</f>
        <v>0</v>
      </c>
      <c r="Y661" s="1540"/>
      <c r="Z661" s="1540"/>
      <c r="AB661" s="1540">
        <f>IF(AB660=0,0,AB658/AB660)</f>
        <v>0</v>
      </c>
      <c r="AC661" s="1540"/>
      <c r="AD661" s="1540"/>
      <c r="AF661" s="1540">
        <f>IF(AF660=0,0,AF658/AF660)</f>
        <v>0</v>
      </c>
      <c r="AG661" s="1540"/>
      <c r="AH661" s="1540"/>
      <c r="AJ661" s="1540">
        <f>IF(AJ660=0,0,AJ658/AJ660)</f>
        <v>0</v>
      </c>
      <c r="AK661" s="1540"/>
      <c r="AL661" s="1540"/>
      <c r="AN661" s="1540">
        <f>SUM(X661:AL661)</f>
        <v>0</v>
      </c>
      <c r="AO661" s="1540"/>
      <c r="AP661" s="1540"/>
      <c r="AQ661" s="856"/>
      <c r="AV661" s="1540">
        <f>IF(AV660=0,0,AV658/AV660)</f>
        <v>0</v>
      </c>
      <c r="AW661" s="1540"/>
      <c r="AX661" s="1540"/>
      <c r="AZ661" s="1540">
        <f>IF(AZ660=0,0,AZ658/AZ660)</f>
        <v>0</v>
      </c>
      <c r="BA661" s="1540"/>
      <c r="BB661" s="1540"/>
      <c r="BD661" s="1540">
        <f>IF(BD660=0,0,BD658/BD660)</f>
        <v>0</v>
      </c>
      <c r="BE661" s="1540"/>
      <c r="BF661" s="1540"/>
      <c r="BH661" s="1540">
        <f>IF(BH660=0,0,BH658/BH660)</f>
        <v>0</v>
      </c>
      <c r="BI661" s="1540"/>
      <c r="BJ661" s="1540"/>
      <c r="BL661" s="1540">
        <f>SUM(AV661:BJ661)</f>
        <v>0</v>
      </c>
      <c r="BM661" s="1540"/>
      <c r="BN661" s="1540"/>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67">
        <f>365/4</f>
        <v>91.25</v>
      </c>
      <c r="Y662" s="1567"/>
      <c r="Z662" s="1567"/>
      <c r="AB662" s="1567">
        <f>365/4</f>
        <v>91.25</v>
      </c>
      <c r="AC662" s="1567"/>
      <c r="AD662" s="1567"/>
      <c r="AF662" s="1567">
        <f>365/4</f>
        <v>91.25</v>
      </c>
      <c r="AG662" s="1567"/>
      <c r="AH662" s="1567"/>
      <c r="AJ662" s="1567">
        <f>365/4</f>
        <v>91.25</v>
      </c>
      <c r="AK662" s="1567"/>
      <c r="AL662" s="1567"/>
      <c r="AN662" s="1540">
        <f>SUM(X662:AL662)</f>
        <v>365</v>
      </c>
      <c r="AO662" s="1540"/>
      <c r="AP662" s="1540"/>
      <c r="AQ662" s="856"/>
      <c r="AV662" s="1567">
        <f>365/4</f>
        <v>91.25</v>
      </c>
      <c r="AW662" s="1567"/>
      <c r="AX662" s="1567"/>
      <c r="AZ662" s="1567">
        <f>365/4</f>
        <v>91.25</v>
      </c>
      <c r="BA662" s="1567"/>
      <c r="BB662" s="1567"/>
      <c r="BD662" s="1567">
        <f>365/4</f>
        <v>91.25</v>
      </c>
      <c r="BE662" s="1567"/>
      <c r="BF662" s="1567"/>
      <c r="BH662" s="1567">
        <f>365/4</f>
        <v>91.25</v>
      </c>
      <c r="BI662" s="1567"/>
      <c r="BJ662" s="1567"/>
      <c r="BL662" s="1540">
        <f>SUM(AV662:BJ662)</f>
        <v>365</v>
      </c>
      <c r="BM662" s="1540"/>
      <c r="BN662" s="1540"/>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6">
        <f>X661/X662</f>
        <v>0</v>
      </c>
      <c r="Y663" s="1566"/>
      <c r="Z663" s="1566"/>
      <c r="AB663" s="1566">
        <f>AB661/AB662</f>
        <v>0</v>
      </c>
      <c r="AC663" s="1566"/>
      <c r="AD663" s="1566"/>
      <c r="AF663" s="1566">
        <f>AF661/AF662</f>
        <v>0</v>
      </c>
      <c r="AG663" s="1566"/>
      <c r="AH663" s="1566"/>
      <c r="AJ663" s="1566">
        <f>AJ661/AJ662</f>
        <v>0</v>
      </c>
      <c r="AK663" s="1566"/>
      <c r="AL663" s="1566"/>
      <c r="AN663" s="1566">
        <f>AN661/AN662</f>
        <v>0</v>
      </c>
      <c r="AO663" s="1566"/>
      <c r="AP663" s="1566"/>
      <c r="AQ663" s="861"/>
      <c r="AV663" s="1566">
        <f>AV661/AV662</f>
        <v>0</v>
      </c>
      <c r="AW663" s="1566"/>
      <c r="AX663" s="1566"/>
      <c r="AZ663" s="1566">
        <f>AZ661/AZ662</f>
        <v>0</v>
      </c>
      <c r="BA663" s="1566"/>
      <c r="BB663" s="1566"/>
      <c r="BD663" s="1566">
        <f>BD661/BD662</f>
        <v>0</v>
      </c>
      <c r="BE663" s="1566"/>
      <c r="BF663" s="1566"/>
      <c r="BH663" s="1566">
        <f>BH661/BH662</f>
        <v>0</v>
      </c>
      <c r="BI663" s="1566"/>
      <c r="BJ663" s="1566"/>
      <c r="BL663" s="1566">
        <f>BL661/BL662</f>
        <v>0</v>
      </c>
      <c r="BM663" s="1566"/>
      <c r="BN663" s="1566"/>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41" t="str">
        <f>'3 TEWI'!D228</f>
        <v>R-32</v>
      </c>
      <c r="I671" s="1541"/>
      <c r="J671" s="1541"/>
      <c r="K671" s="1541"/>
      <c r="L671" s="1541"/>
      <c r="M671" s="1541"/>
      <c r="N671" s="1541"/>
      <c r="O671" s="1541"/>
      <c r="U671" s="201"/>
    </row>
    <row r="672" spans="8:67" s="63" customFormat="1" ht="17" hidden="1" customHeight="1" outlineLevel="1" x14ac:dyDescent="0.15">
      <c r="H672" s="1541" t="str">
        <f>'3 TEWI'!D229</f>
        <v>R-134a</v>
      </c>
      <c r="I672" s="1541"/>
      <c r="J672" s="1541"/>
      <c r="K672" s="1541"/>
      <c r="L672" s="1541"/>
      <c r="M672" s="1541"/>
      <c r="N672" s="1541"/>
      <c r="O672" s="1541"/>
      <c r="U672" s="201"/>
    </row>
    <row r="673" spans="8:21" s="63" customFormat="1" ht="17" hidden="1" customHeight="1" outlineLevel="1" x14ac:dyDescent="0.15">
      <c r="H673" s="1541" t="str">
        <f>'3 TEWI'!D230</f>
        <v>R-290 (Propan)</v>
      </c>
      <c r="I673" s="1541"/>
      <c r="J673" s="1541"/>
      <c r="K673" s="1541"/>
      <c r="L673" s="1541"/>
      <c r="M673" s="1541"/>
      <c r="N673" s="1541"/>
      <c r="O673" s="1541"/>
      <c r="U673" s="201"/>
    </row>
    <row r="674" spans="8:21" s="63" customFormat="1" ht="17" hidden="1" customHeight="1" outlineLevel="1" x14ac:dyDescent="0.15">
      <c r="H674" s="1541" t="str">
        <f>'3 TEWI'!D231</f>
        <v>R-404A</v>
      </c>
      <c r="I674" s="1541"/>
      <c r="J674" s="1541"/>
      <c r="K674" s="1541"/>
      <c r="L674" s="1541"/>
      <c r="M674" s="1541"/>
      <c r="N674" s="1541"/>
      <c r="O674" s="1541"/>
      <c r="U674" s="201"/>
    </row>
    <row r="675" spans="8:21" s="63" customFormat="1" ht="17" hidden="1" customHeight="1" outlineLevel="1" x14ac:dyDescent="0.15">
      <c r="H675" s="1541" t="str">
        <f>'3 TEWI'!D232</f>
        <v>R-407C</v>
      </c>
      <c r="I675" s="1541"/>
      <c r="J675" s="1541"/>
      <c r="K675" s="1541"/>
      <c r="L675" s="1541"/>
      <c r="M675" s="1541"/>
      <c r="N675" s="1541"/>
      <c r="O675" s="1541"/>
      <c r="U675" s="201"/>
    </row>
    <row r="676" spans="8:21" s="63" customFormat="1" ht="17" hidden="1" customHeight="1" outlineLevel="1" x14ac:dyDescent="0.15">
      <c r="H676" s="1541" t="str">
        <f>'3 TEWI'!D233</f>
        <v>R-407F</v>
      </c>
      <c r="I676" s="1541"/>
      <c r="J676" s="1541"/>
      <c r="K676" s="1541"/>
      <c r="L676" s="1541"/>
      <c r="M676" s="1541"/>
      <c r="N676" s="1541"/>
      <c r="O676" s="1541"/>
      <c r="U676" s="201"/>
    </row>
    <row r="677" spans="8:21" s="63" customFormat="1" ht="17" hidden="1" customHeight="1" outlineLevel="1" x14ac:dyDescent="0.15">
      <c r="H677" s="1541" t="str">
        <f>'3 TEWI'!D234</f>
        <v>R-410A</v>
      </c>
      <c r="I677" s="1541"/>
      <c r="J677" s="1541"/>
      <c r="K677" s="1541"/>
      <c r="L677" s="1541"/>
      <c r="M677" s="1541"/>
      <c r="N677" s="1541"/>
      <c r="O677" s="1541"/>
      <c r="U677" s="201"/>
    </row>
    <row r="678" spans="8:21" s="63" customFormat="1" ht="17" hidden="1" customHeight="1" outlineLevel="1" x14ac:dyDescent="0.15">
      <c r="H678" s="1541" t="str">
        <f>'3 TEWI'!D235</f>
        <v>R-417A</v>
      </c>
      <c r="I678" s="1541"/>
      <c r="J678" s="1541"/>
      <c r="K678" s="1541"/>
      <c r="L678" s="1541"/>
      <c r="M678" s="1541"/>
      <c r="N678" s="1541"/>
      <c r="O678" s="1541"/>
      <c r="U678" s="201"/>
    </row>
    <row r="679" spans="8:21" s="63" customFormat="1" ht="17" hidden="1" customHeight="1" outlineLevel="1" x14ac:dyDescent="0.15">
      <c r="H679" s="1541" t="str">
        <f>'3 TEWI'!D236</f>
        <v>R-422A</v>
      </c>
      <c r="I679" s="1541"/>
      <c r="J679" s="1541"/>
      <c r="K679" s="1541"/>
      <c r="L679" s="1541"/>
      <c r="M679" s="1541"/>
      <c r="N679" s="1541"/>
      <c r="O679" s="1541"/>
      <c r="U679" s="201"/>
    </row>
    <row r="680" spans="8:21" s="63" customFormat="1" ht="17" hidden="1" customHeight="1" outlineLevel="1" x14ac:dyDescent="0.15">
      <c r="H680" s="1541" t="str">
        <f>'3 TEWI'!D237</f>
        <v>R-422D</v>
      </c>
      <c r="I680" s="1541"/>
      <c r="J680" s="1541"/>
      <c r="K680" s="1541"/>
      <c r="L680" s="1541"/>
      <c r="M680" s="1541"/>
      <c r="N680" s="1541"/>
      <c r="O680" s="1541"/>
      <c r="U680" s="201"/>
    </row>
    <row r="681" spans="8:21" s="63" customFormat="1" ht="17" hidden="1" customHeight="1" outlineLevel="1" x14ac:dyDescent="0.15">
      <c r="H681" s="1541" t="str">
        <f>'3 TEWI'!D238</f>
        <v>R-437A</v>
      </c>
      <c r="I681" s="1541"/>
      <c r="J681" s="1541"/>
      <c r="K681" s="1541"/>
      <c r="L681" s="1541"/>
      <c r="M681" s="1541"/>
      <c r="N681" s="1541"/>
      <c r="O681" s="1541"/>
      <c r="U681" s="201"/>
    </row>
    <row r="682" spans="8:21" s="63" customFormat="1" ht="17" hidden="1" customHeight="1" outlineLevel="1" x14ac:dyDescent="0.15">
      <c r="H682" s="1541" t="str">
        <f>'3 TEWI'!D239</f>
        <v>R-448A</v>
      </c>
      <c r="I682" s="1541"/>
      <c r="J682" s="1541"/>
      <c r="K682" s="1541"/>
      <c r="L682" s="1541"/>
      <c r="M682" s="1541"/>
      <c r="N682" s="1541"/>
      <c r="O682" s="1541"/>
      <c r="U682" s="201"/>
    </row>
    <row r="683" spans="8:21" s="63" customFormat="1" ht="17" hidden="1" customHeight="1" outlineLevel="1" x14ac:dyDescent="0.15">
      <c r="H683" s="1541" t="str">
        <f>'3 TEWI'!D240</f>
        <v>R-449A</v>
      </c>
      <c r="I683" s="1541"/>
      <c r="J683" s="1541"/>
      <c r="K683" s="1541"/>
      <c r="L683" s="1541"/>
      <c r="M683" s="1541"/>
      <c r="N683" s="1541"/>
      <c r="O683" s="1541"/>
      <c r="U683" s="201"/>
    </row>
    <row r="684" spans="8:21" s="63" customFormat="1" ht="17" hidden="1" customHeight="1" outlineLevel="1" x14ac:dyDescent="0.15">
      <c r="H684" s="1541" t="str">
        <f>'3 TEWI'!D241</f>
        <v>R-450A</v>
      </c>
      <c r="I684" s="1541"/>
      <c r="J684" s="1541"/>
      <c r="K684" s="1541"/>
      <c r="L684" s="1541"/>
      <c r="M684" s="1541"/>
      <c r="N684" s="1541"/>
      <c r="O684" s="1541"/>
      <c r="U684" s="201"/>
    </row>
    <row r="685" spans="8:21" s="63" customFormat="1" ht="17" hidden="1" customHeight="1" outlineLevel="1" x14ac:dyDescent="0.15">
      <c r="H685" s="1541" t="str">
        <f>'3 TEWI'!D244</f>
        <v>R-507 A</v>
      </c>
      <c r="I685" s="1541"/>
      <c r="J685" s="1541"/>
      <c r="K685" s="1541"/>
      <c r="L685" s="1541"/>
      <c r="M685" s="1541"/>
      <c r="N685" s="1541"/>
      <c r="O685" s="1541"/>
      <c r="U685" s="201"/>
    </row>
    <row r="686" spans="8:21" s="63" customFormat="1" ht="17" hidden="1" customHeight="1" outlineLevel="1" x14ac:dyDescent="0.15">
      <c r="H686" s="1541" t="str">
        <f>'3 TEWI'!D245</f>
        <v>R-513 A</v>
      </c>
      <c r="I686" s="1541"/>
      <c r="J686" s="1541"/>
      <c r="K686" s="1541"/>
      <c r="L686" s="1541"/>
      <c r="M686" s="1541"/>
      <c r="N686" s="1541"/>
      <c r="O686" s="1541"/>
      <c r="U686" s="201"/>
    </row>
    <row r="687" spans="8:21" s="63" customFormat="1" ht="17" hidden="1" customHeight="1" outlineLevel="1" x14ac:dyDescent="0.15">
      <c r="H687" s="1541" t="str">
        <f>'3 TEWI'!D247</f>
        <v>R-717 (Ammoniak - NH3)</v>
      </c>
      <c r="I687" s="1541"/>
      <c r="J687" s="1541"/>
      <c r="K687" s="1541"/>
      <c r="L687" s="1541"/>
      <c r="M687" s="1541"/>
      <c r="N687" s="1541"/>
      <c r="O687" s="1541"/>
      <c r="U687" s="201"/>
    </row>
    <row r="688" spans="8:21" s="63" customFormat="1" ht="17" hidden="1" customHeight="1" outlineLevel="1" x14ac:dyDescent="0.15">
      <c r="H688" s="1541" t="str">
        <f>'3 TEWI'!D248</f>
        <v>R-723</v>
      </c>
      <c r="I688" s="1541"/>
      <c r="J688" s="1541"/>
      <c r="K688" s="1541"/>
      <c r="L688" s="1541"/>
      <c r="M688" s="1541"/>
      <c r="N688" s="1541"/>
      <c r="O688" s="1541"/>
      <c r="U688" s="201"/>
    </row>
    <row r="689" spans="8:33" s="63" customFormat="1" ht="17" hidden="1" customHeight="1" outlineLevel="1" x14ac:dyDescent="0.15">
      <c r="H689" s="1541" t="str">
        <f>'3 TEWI'!D249</f>
        <v>R-744  (CO2)</v>
      </c>
      <c r="I689" s="1541"/>
      <c r="J689" s="1541"/>
      <c r="K689" s="1541"/>
      <c r="L689" s="1541"/>
      <c r="M689" s="1541"/>
      <c r="N689" s="1541"/>
      <c r="O689" s="1541"/>
      <c r="U689" s="201"/>
    </row>
    <row r="690" spans="8:33" s="63" customFormat="1" ht="17" hidden="1" customHeight="1" outlineLevel="1" x14ac:dyDescent="0.15">
      <c r="H690" s="1541" t="str">
        <f>'3 TEWI'!D250</f>
        <v>R-1270 (Propen)</v>
      </c>
      <c r="I690" s="1541"/>
      <c r="J690" s="1541"/>
      <c r="K690" s="1541"/>
      <c r="L690" s="1541"/>
      <c r="M690" s="1541"/>
      <c r="N690" s="1541"/>
      <c r="O690" s="1541"/>
      <c r="U690" s="201"/>
    </row>
    <row r="691" spans="8:33" s="63" customFormat="1" ht="17" hidden="1" customHeight="1" outlineLevel="1" x14ac:dyDescent="0.15">
      <c r="H691" s="1541" t="str">
        <f>'3 TEWI'!D251</f>
        <v>R-1233zd(E)</v>
      </c>
      <c r="I691" s="1541"/>
      <c r="J691" s="1541"/>
      <c r="K691" s="1541"/>
      <c r="L691" s="1541"/>
      <c r="M691" s="1541"/>
      <c r="N691" s="1541"/>
      <c r="O691" s="1541"/>
      <c r="U691" s="201"/>
    </row>
    <row r="692" spans="8:33" s="63" customFormat="1" ht="17" hidden="1" customHeight="1" outlineLevel="1" x14ac:dyDescent="0.15">
      <c r="H692" s="1541" t="str">
        <f>'3 TEWI'!D252</f>
        <v>R-1234ze</v>
      </c>
      <c r="I692" s="1541"/>
      <c r="J692" s="1541"/>
      <c r="K692" s="1541"/>
      <c r="L692" s="1541"/>
      <c r="M692" s="1541"/>
      <c r="N692" s="1541"/>
      <c r="O692" s="1541"/>
      <c r="U692" s="201"/>
    </row>
    <row r="693" spans="8:33" s="63" customFormat="1" ht="17" hidden="1" customHeight="1" outlineLevel="1" x14ac:dyDescent="0.15">
      <c r="H693" s="1541" t="str">
        <f>'3 TEWI'!D254</f>
        <v>R-1336mzz(Z)</v>
      </c>
      <c r="I693" s="1541"/>
      <c r="J693" s="1541"/>
      <c r="K693" s="1541"/>
      <c r="L693" s="1541"/>
      <c r="M693" s="1541"/>
      <c r="N693" s="1541"/>
      <c r="O693" s="1541"/>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74" t="str">
        <f>X!$C$285</f>
        <v>indietro alla panoramica (1)</v>
      </c>
      <c r="F2" s="1574"/>
      <c r="G2" s="1574"/>
      <c r="H2" s="1574"/>
      <c r="I2" s="1574"/>
      <c r="J2" s="1574"/>
      <c r="K2" s="1574"/>
      <c r="L2" s="1574"/>
      <c r="M2" s="1574"/>
      <c r="N2" s="1574"/>
      <c r="O2" s="1574"/>
      <c r="P2" s="1574"/>
      <c r="Q2" s="688"/>
      <c r="R2" s="688"/>
      <c r="S2" s="688"/>
      <c r="T2" s="706"/>
      <c r="U2" s="689" t="s">
        <v>12</v>
      </c>
      <c r="V2" s="1574" t="str">
        <f>X!$C$286</f>
        <v>al calcolo dell'economicità (4)</v>
      </c>
      <c r="W2" s="1574"/>
      <c r="X2" s="1574"/>
      <c r="Y2" s="1574"/>
      <c r="Z2" s="1574"/>
      <c r="AA2" s="1574"/>
      <c r="AB2" s="1574"/>
      <c r="AC2" s="1574"/>
      <c r="AD2" s="1574"/>
      <c r="AE2" s="1574"/>
      <c r="AF2" s="1574"/>
      <c r="AG2" s="1574"/>
      <c r="AH2" s="1574"/>
      <c r="AI2" s="1574"/>
      <c r="AL2" s="440">
        <f>X!E8</f>
        <v>0</v>
      </c>
      <c r="AM2" s="440">
        <f>X!F8</f>
        <v>0</v>
      </c>
      <c r="AN2" s="440">
        <f>X!G8</f>
        <v>1</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Efficienza per il freddo</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Strumento per prognosi di consumo elettrico, impatto ambientale e costo del ciclo di vita per impianti di refrigerazione e climatizzazione</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effetto serra)</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45824</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S17" s="1409" t="str">
        <f>'1 System specification'!AO80</f>
        <v>Versione 6.3 (2025): valida fino al 30 maggio 2026</v>
      </c>
      <c r="AT17" s="1409"/>
      <c r="AU17" s="1409"/>
      <c r="AV17" s="1409"/>
      <c r="AW17" s="1409"/>
      <c r="AX17" s="1409"/>
      <c r="AY17" s="1409"/>
      <c r="AZ17" s="1409"/>
      <c r="BA17" s="1409"/>
      <c r="BB17" s="1409"/>
      <c r="BC17" s="1409"/>
      <c r="BD17" s="1409"/>
      <c r="BE17" s="1409"/>
      <c r="BF17" s="1409"/>
      <c r="BG17" s="1409"/>
      <c r="BH17" s="1409"/>
      <c r="BI17" s="1409"/>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Inserimenti</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26">
        <f>'1 System specification'!W243</f>
        <v>1</v>
      </c>
      <c r="AT22" s="1626"/>
      <c r="AU22" s="1626"/>
      <c r="AV22" s="1626"/>
      <c r="AW22" s="1626"/>
      <c r="AX22" s="1626"/>
      <c r="AY22" s="1626"/>
      <c r="AZ22" s="1626"/>
      <c r="BA22" s="1626"/>
      <c r="BB22" s="1626"/>
      <c r="BC22" s="1626"/>
      <c r="BD22" s="1626"/>
      <c r="BE22" s="1626"/>
      <c r="BF22" s="1626"/>
      <c r="BG22" s="1626"/>
      <c r="BH22" s="1626"/>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16">
        <f>'1 System specification'!AE250</f>
        <v>1</v>
      </c>
      <c r="W27" s="1616"/>
      <c r="X27" s="1616"/>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16">
        <f>IF(V27=1,'2A Electricity regular'!X114,0)</f>
        <v>0</v>
      </c>
      <c r="W28" s="1616"/>
      <c r="X28" s="1616"/>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16">
        <f>IF('1 System specification'!AP108='1 System specification'!L224,1,0)</f>
        <v>0</v>
      </c>
      <c r="W29" s="1616"/>
      <c r="X29" s="1616"/>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Refrigerante</v>
      </c>
      <c r="E31" s="74"/>
      <c r="F31" s="74"/>
      <c r="G31" s="74"/>
      <c r="H31" s="74"/>
      <c r="I31" s="74"/>
      <c r="J31" s="74"/>
      <c r="K31" s="74"/>
      <c r="L31" s="74"/>
      <c r="M31" s="74"/>
      <c r="N31" s="74"/>
      <c r="O31" s="74"/>
      <c r="P31" s="74"/>
      <c r="Q31" s="95"/>
      <c r="R31" s="74"/>
      <c r="S31" s="27" t="s">
        <v>15</v>
      </c>
      <c r="T31" s="106"/>
      <c r="U31" s="106"/>
      <c r="V31" s="106"/>
      <c r="W31" s="74"/>
      <c r="X31" s="107"/>
      <c r="Y31" s="107"/>
      <c r="Z31" s="1612"/>
      <c r="AA31" s="1612"/>
      <c r="AB31" s="1612"/>
      <c r="AC31" s="1612"/>
      <c r="AD31" s="1612"/>
      <c r="AE31" s="1612"/>
      <c r="AF31" s="1612"/>
      <c r="AG31" s="1612"/>
      <c r="AH31" s="1612"/>
      <c r="AI31" s="1612"/>
      <c r="AJ31" s="1613"/>
      <c r="AK31" s="74"/>
      <c r="AL31" s="74"/>
      <c r="AM31" s="74"/>
      <c r="AN31" s="74"/>
      <c r="AO31" s="74"/>
      <c r="AP31" s="74"/>
      <c r="AQ31" s="74"/>
      <c r="AR31" s="106"/>
      <c r="AS31" s="1612"/>
      <c r="AT31" s="1612"/>
      <c r="AU31" s="1612"/>
      <c r="AV31" s="1612"/>
      <c r="AW31" s="1612"/>
      <c r="AX31" s="1612"/>
      <c r="AY31" s="1612"/>
      <c r="AZ31" s="1612"/>
      <c r="BA31" s="1612"/>
      <c r="BB31" s="1612"/>
      <c r="BC31" s="1613"/>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Refrigerante</v>
      </c>
      <c r="S33" s="27" t="s">
        <v>15</v>
      </c>
      <c r="X33" s="251"/>
      <c r="Y33" s="251"/>
      <c r="Z33" s="1614">
        <f>'1 System specification'!AA295</f>
        <v>0</v>
      </c>
      <c r="AA33" s="1615"/>
      <c r="AB33" s="1615"/>
      <c r="AC33" s="1615"/>
      <c r="AD33" s="1615"/>
      <c r="AE33" s="1615"/>
      <c r="AF33" s="1615"/>
      <c r="AG33" s="1615"/>
      <c r="AH33" s="1615"/>
      <c r="AI33" s="1615"/>
      <c r="AJ33" s="1615"/>
      <c r="AL33" s="93"/>
      <c r="AM33" s="93"/>
      <c r="AS33" s="1614">
        <f>'1 System specification'!BR295</f>
        <v>0</v>
      </c>
      <c r="AT33" s="1615"/>
      <c r="AU33" s="1615"/>
      <c r="AV33" s="1615"/>
      <c r="AW33" s="1615"/>
      <c r="AX33" s="1615"/>
      <c r="AY33" s="1615"/>
      <c r="AZ33" s="1615"/>
      <c r="BA33" s="1615"/>
      <c r="BB33" s="1615"/>
      <c r="BC33" s="161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17" t="str">
        <f>X!C408</f>
        <v>Immissione sul mercato del refrigerante:</v>
      </c>
      <c r="E35" s="1617"/>
      <c r="F35" s="1617"/>
      <c r="G35" s="1617"/>
      <c r="H35" s="1617"/>
      <c r="I35" s="1617"/>
      <c r="J35" s="1617"/>
      <c r="K35" s="1617"/>
      <c r="L35" s="1617"/>
      <c r="M35" s="1617"/>
      <c r="N35" s="1617"/>
      <c r="O35" s="1617"/>
      <c r="P35" s="1617"/>
      <c r="Q35" s="1617"/>
      <c r="R35" s="1617"/>
      <c r="S35" s="1617"/>
      <c r="T35" s="1617"/>
      <c r="U35" s="1617"/>
      <c r="V35" s="1617"/>
      <c r="W35" s="1617"/>
      <c r="X35" s="1617"/>
      <c r="Y35" s="251"/>
      <c r="Z35" s="1618" t="str">
        <f>IF(AL257="","",AL257)</f>
        <v/>
      </c>
      <c r="AA35" s="1618"/>
      <c r="AB35" s="1618"/>
      <c r="AC35" s="1618"/>
      <c r="AD35" s="1618"/>
      <c r="AE35" s="1618"/>
      <c r="AF35" s="1618"/>
      <c r="AG35" s="1618"/>
      <c r="AH35" s="1618"/>
      <c r="AI35" s="1618"/>
      <c r="AJ35" s="1618"/>
      <c r="AS35" s="1618" t="str">
        <f>IF(BE257="","",BE257)</f>
        <v/>
      </c>
      <c r="AT35" s="1618"/>
      <c r="AU35" s="1618"/>
      <c r="AV35" s="1618"/>
      <c r="AW35" s="1618"/>
      <c r="AX35" s="1618"/>
      <c r="AY35" s="1618"/>
      <c r="AZ35" s="1618"/>
      <c r="BA35" s="1618"/>
      <c r="BB35" s="1618"/>
      <c r="BC35" s="1618"/>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17"/>
      <c r="E36" s="1617"/>
      <c r="F36" s="1617"/>
      <c r="G36" s="1617"/>
      <c r="H36" s="1617"/>
      <c r="I36" s="1617"/>
      <c r="J36" s="1617"/>
      <c r="K36" s="1617"/>
      <c r="L36" s="1617"/>
      <c r="M36" s="1617"/>
      <c r="N36" s="1617"/>
      <c r="O36" s="1617"/>
      <c r="P36" s="1617"/>
      <c r="Q36" s="1617"/>
      <c r="R36" s="1617"/>
      <c r="S36" s="1617"/>
      <c r="T36" s="1617"/>
      <c r="U36" s="1617"/>
      <c r="V36" s="1617"/>
      <c r="W36" s="1617"/>
      <c r="X36" s="1617"/>
      <c r="Y36" s="251"/>
      <c r="Z36" s="1629" t="str">
        <f>IF(AL258="","",AL258)</f>
        <v/>
      </c>
      <c r="AA36" s="1629"/>
      <c r="AB36" s="1629"/>
      <c r="AC36" s="1629"/>
      <c r="AD36" s="1629"/>
      <c r="AE36" s="1629"/>
      <c r="AF36" s="1629"/>
      <c r="AG36" s="1629"/>
      <c r="AH36" s="1629"/>
      <c r="AI36" s="1629"/>
      <c r="AJ36" s="1629"/>
      <c r="AL36" s="93"/>
      <c r="AM36" s="93"/>
      <c r="AS36" s="1629" t="str">
        <f>IF(BE258=BG255,"",BE258)</f>
        <v/>
      </c>
      <c r="AT36" s="1629"/>
      <c r="AU36" s="1629"/>
      <c r="AV36" s="1629"/>
      <c r="AW36" s="1629"/>
      <c r="AX36" s="1629"/>
      <c r="AY36" s="1629"/>
      <c r="AZ36" s="1629"/>
      <c r="BA36" s="1629"/>
      <c r="BB36" s="1629"/>
      <c r="BC36" s="1629"/>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Carica di riemplemento dell'impianto</v>
      </c>
      <c r="S38" s="27" t="s">
        <v>19</v>
      </c>
      <c r="X38" s="251"/>
      <c r="Y38" s="251"/>
      <c r="Z38" s="1612"/>
      <c r="AA38" s="1612"/>
      <c r="AB38" s="1612"/>
      <c r="AC38" s="1612"/>
      <c r="AD38" s="1612"/>
      <c r="AE38" s="1612"/>
      <c r="AF38" s="1612"/>
      <c r="AG38" s="1612"/>
      <c r="AH38" s="1612"/>
      <c r="AI38" s="1612"/>
      <c r="AJ38" s="1613"/>
      <c r="AL38" s="93"/>
      <c r="AM38" s="93"/>
      <c r="AS38" s="1612"/>
      <c r="AT38" s="1612"/>
      <c r="AU38" s="1612"/>
      <c r="AV38" s="1612"/>
      <c r="AW38" s="1612"/>
      <c r="AX38" s="1612"/>
      <c r="AY38" s="1612"/>
      <c r="AZ38" s="1612"/>
      <c r="BA38" s="1612"/>
      <c r="BB38" s="1612"/>
      <c r="BC38" s="1613"/>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Mix energetico</v>
      </c>
      <c r="S41" s="27" t="s">
        <v>67</v>
      </c>
      <c r="X41" s="251"/>
      <c r="Y41" s="251"/>
      <c r="Z41" s="1612"/>
      <c r="AA41" s="1612"/>
      <c r="AB41" s="1612"/>
      <c r="AC41" s="1612"/>
      <c r="AD41" s="1612"/>
      <c r="AE41" s="1612"/>
      <c r="AF41" s="1612"/>
      <c r="AG41" s="1612"/>
      <c r="AH41" s="1612"/>
      <c r="AI41" s="1612"/>
      <c r="AJ41" s="1613"/>
      <c r="AL41" s="437" t="s">
        <v>266</v>
      </c>
      <c r="AM41" s="437" t="s">
        <v>266</v>
      </c>
      <c r="AN41" s="437" t="s">
        <v>266</v>
      </c>
      <c r="AQ41" s="27" t="s">
        <v>23</v>
      </c>
      <c r="AS41" s="1612"/>
      <c r="AT41" s="1612"/>
      <c r="AU41" s="1612"/>
      <c r="AV41" s="1612"/>
      <c r="AW41" s="1612"/>
      <c r="AX41" s="1612"/>
      <c r="AY41" s="1612"/>
      <c r="AZ41" s="1612"/>
      <c r="BA41" s="1612"/>
      <c r="BB41" s="1612"/>
      <c r="BC41" s="1613"/>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Tipo di compensazione del CO2</v>
      </c>
      <c r="X43" s="251"/>
      <c r="Y43" s="251"/>
      <c r="Z43" s="1619"/>
      <c r="AA43" s="1619"/>
      <c r="AB43" s="1619"/>
      <c r="AC43" s="1619"/>
      <c r="AD43" s="1619"/>
      <c r="AE43" s="1619"/>
      <c r="AF43" s="1619"/>
      <c r="AG43" s="1619"/>
      <c r="AH43" s="1619"/>
      <c r="AI43" s="1619"/>
      <c r="AJ43" s="1620"/>
      <c r="AK43" s="168"/>
      <c r="AL43" s="471" t="s">
        <v>266</v>
      </c>
      <c r="AM43" s="471" t="s">
        <v>266</v>
      </c>
      <c r="AN43" s="471" t="s">
        <v>266</v>
      </c>
      <c r="AO43" s="168"/>
      <c r="AP43" s="168"/>
      <c r="AQ43" s="168" t="s">
        <v>23</v>
      </c>
      <c r="AR43" s="168"/>
      <c r="AS43" s="1619"/>
      <c r="AT43" s="1619"/>
      <c r="AU43" s="1619"/>
      <c r="AV43" s="1619"/>
      <c r="AW43" s="1619"/>
      <c r="AX43" s="1619"/>
      <c r="AY43" s="1619"/>
      <c r="AZ43" s="1619"/>
      <c r="BA43" s="1619"/>
      <c r="BB43" s="1619"/>
      <c r="BC43" s="1620"/>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Tipo di impianto</v>
      </c>
      <c r="X45" s="257"/>
      <c r="Y45" s="257"/>
      <c r="Z45" s="1628" t="str">
        <f>IF(AA96=0,"",AA96)</f>
        <v/>
      </c>
      <c r="AA45" s="1628"/>
      <c r="AB45" s="1628"/>
      <c r="AC45" s="1628"/>
      <c r="AD45" s="1628"/>
      <c r="AE45" s="1628"/>
      <c r="AF45" s="1628"/>
      <c r="AG45" s="1628"/>
      <c r="AH45" s="1628"/>
      <c r="AI45" s="1628"/>
      <c r="AJ45" s="1628"/>
      <c r="AS45" s="1628" t="str">
        <f>Z45</f>
        <v/>
      </c>
      <c r="AT45" s="1628"/>
      <c r="AU45" s="1628"/>
      <c r="AV45" s="1628"/>
      <c r="AW45" s="1628"/>
      <c r="AX45" s="1628"/>
      <c r="AY45" s="1628"/>
      <c r="AZ45" s="1628"/>
      <c r="BA45" s="1628"/>
      <c r="BB45" s="1628"/>
      <c r="BC45" s="1628"/>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Modello</v>
      </c>
      <c r="X47" s="251"/>
      <c r="Y47" s="251"/>
      <c r="Z47" s="1622"/>
      <c r="AA47" s="1622"/>
      <c r="AB47" s="1622"/>
      <c r="AC47" s="1622"/>
      <c r="AD47" s="1622"/>
      <c r="AE47" s="1622"/>
      <c r="AF47" s="1622"/>
      <c r="AG47" s="1622"/>
      <c r="AH47" s="1622"/>
      <c r="AI47" s="1622"/>
      <c r="AJ47" s="1623"/>
      <c r="AL47" s="471" t="s">
        <v>266</v>
      </c>
      <c r="AM47" s="471" t="s">
        <v>266</v>
      </c>
      <c r="AN47" s="471" t="s">
        <v>266</v>
      </c>
      <c r="AS47" s="1621"/>
      <c r="AT47" s="1622"/>
      <c r="AU47" s="1622"/>
      <c r="AV47" s="1622"/>
      <c r="AW47" s="1622"/>
      <c r="AX47" s="1622"/>
      <c r="AY47" s="1622"/>
      <c r="AZ47" s="1622"/>
      <c r="BA47" s="1622"/>
      <c r="BB47" s="1622"/>
      <c r="BC47" s="1623"/>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Consumo elettricità impianto di refrigerazione</v>
      </c>
      <c r="S49" s="27" t="s">
        <v>20</v>
      </c>
      <c r="X49" s="251"/>
      <c r="Y49" s="251"/>
      <c r="AA49" s="1649">
        <f>'1 System specification'!AA267</f>
        <v>0</v>
      </c>
      <c r="AB49" s="1649"/>
      <c r="AC49" s="1649"/>
      <c r="AD49" s="1649"/>
      <c r="AE49" s="1649"/>
      <c r="AF49" s="1649"/>
      <c r="AG49" s="1649"/>
      <c r="AH49" s="1649"/>
      <c r="AI49" s="1649"/>
      <c r="AJ49" s="1649"/>
      <c r="AT49" s="1649">
        <f>'1 System specification'!BR267</f>
        <v>0</v>
      </c>
      <c r="AU49" s="1649"/>
      <c r="AV49" s="1649"/>
      <c r="AW49" s="1649"/>
      <c r="AX49" s="1649"/>
      <c r="AY49" s="1649"/>
      <c r="AZ49" s="1649"/>
      <c r="BA49" s="1649"/>
      <c r="BB49" s="1649"/>
      <c r="BC49" s="164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Base di calcolo</v>
      </c>
      <c r="X50" s="251"/>
      <c r="Y50" s="251"/>
      <c r="AA50" s="1627" t="str">
        <f>'1 System specification'!AH267</f>
        <v>Calcolo con il tool del freddo</v>
      </c>
      <c r="AB50" s="1627"/>
      <c r="AC50" s="1627"/>
      <c r="AD50" s="1627"/>
      <c r="AE50" s="1627"/>
      <c r="AF50" s="1627"/>
      <c r="AG50" s="1627"/>
      <c r="AH50" s="1627"/>
      <c r="AI50" s="1627"/>
      <c r="AJ50" s="1627"/>
      <c r="AT50" s="1627" t="str">
        <f>'1 System specification'!BX267</f>
        <v>Calcolo con il tool del freddo</v>
      </c>
      <c r="AU50" s="1627"/>
      <c r="AV50" s="1627"/>
      <c r="AW50" s="1627"/>
      <c r="AX50" s="1627"/>
      <c r="AY50" s="1627"/>
      <c r="AZ50" s="1627"/>
      <c r="BA50" s="1627"/>
      <c r="BB50" s="1627"/>
      <c r="BC50" s="1627"/>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Il calore della macchina refrigerante sostituisce il calore di...</v>
      </c>
      <c r="Z52" s="1647"/>
      <c r="AA52" s="1647"/>
      <c r="AB52" s="1647"/>
      <c r="AC52" s="1647"/>
      <c r="AD52" s="1647"/>
      <c r="AE52" s="1647"/>
      <c r="AF52" s="1647"/>
      <c r="AG52" s="1647"/>
      <c r="AH52" s="1647"/>
      <c r="AI52" s="1647"/>
      <c r="AJ52" s="1648"/>
      <c r="AK52" s="1121" t="s">
        <v>1702</v>
      </c>
      <c r="AL52" s="251"/>
      <c r="AM52" s="251"/>
      <c r="AN52" s="251"/>
      <c r="AO52" s="251"/>
      <c r="AP52" s="251"/>
      <c r="AQ52" s="251"/>
      <c r="AR52" s="251"/>
      <c r="AS52" s="1650"/>
      <c r="AT52" s="1647"/>
      <c r="AU52" s="1647"/>
      <c r="AV52" s="1647"/>
      <c r="AW52" s="1647"/>
      <c r="AX52" s="1647"/>
      <c r="AY52" s="1647"/>
      <c r="AZ52" s="1647"/>
      <c r="BA52" s="1647"/>
      <c r="BB52" s="1647"/>
      <c r="BC52" s="164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25" t="str">
        <f>IF(BR50=1,Z52,IF(BR52=1,AS52,"keine Wärmenutzung"))</f>
        <v>keine Wärmenutzung</v>
      </c>
      <c r="F54" s="1625"/>
      <c r="G54" s="1625"/>
      <c r="H54" s="1625"/>
      <c r="I54" s="1625"/>
      <c r="J54" s="1625"/>
      <c r="K54" s="1625"/>
      <c r="L54" s="1625"/>
      <c r="M54" s="1625"/>
      <c r="N54" s="1625"/>
      <c r="O54" s="1625"/>
      <c r="P54" s="1625"/>
      <c r="Q54" s="1625"/>
      <c r="R54" s="1625"/>
      <c r="S54" s="1625"/>
      <c r="T54" s="1625"/>
      <c r="U54" s="1625"/>
      <c r="V54" s="1625"/>
      <c r="W54" s="1625"/>
      <c r="X54" s="1625"/>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Risultati calcolo TEWI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652" t="str">
        <f>X!$C$15</f>
        <v>(tutti i valori di kg CO2 sono valori equivalenti di kg CO2)</v>
      </c>
      <c r="AP59" s="1652"/>
      <c r="AQ59" s="1652"/>
      <c r="AR59" s="1652"/>
      <c r="AS59" s="1652"/>
      <c r="AT59" s="1652"/>
      <c r="AU59" s="1652"/>
      <c r="AV59" s="1652"/>
      <c r="AW59" s="1652"/>
      <c r="AX59" s="1652"/>
      <c r="AY59" s="1652"/>
      <c r="AZ59" s="1652"/>
      <c r="BA59" s="1652"/>
      <c r="BB59" s="1652"/>
      <c r="BC59" s="1652"/>
      <c r="BD59" s="1652"/>
      <c r="BE59" s="1652"/>
      <c r="BF59" s="1652"/>
      <c r="BG59" s="1652"/>
      <c r="BH59" s="1652"/>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22" t="str">
        <f>X!C468</f>
        <v>Le dichiarazioni sulle emissioni di CO2 sono adatte alla valutazione dei nuovi impianti.</v>
      </c>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222"/>
      <c r="AV61" s="1222"/>
      <c r="AW61" s="1222"/>
      <c r="AX61" s="1222"/>
      <c r="AY61" s="1222"/>
      <c r="AZ61" s="1222"/>
      <c r="BA61" s="1222"/>
      <c r="BB61" s="1222"/>
      <c r="BC61" s="1222"/>
      <c r="BD61" s="1222"/>
      <c r="BE61" s="1222"/>
      <c r="BF61" s="1222"/>
      <c r="BG61" s="1222"/>
      <c r="BH61" s="1222"/>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22" t="str">
        <f>X!C469</f>
        <v xml:space="preserve">Tuttavia, i valori delle emissioni di CO2 dovute alle perdite di refrigerante non sono adatti per determinare il risparmio di CO2 nei progetti di compensazione (calcolo del risparmio ottenuto sostituendo un sistema di refrigerazione esistente). </v>
      </c>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c r="AA62" s="1222"/>
      <c r="AB62" s="1222"/>
      <c r="AC62" s="1222"/>
      <c r="AD62" s="1222"/>
      <c r="AE62" s="1222"/>
      <c r="AF62" s="1222"/>
      <c r="AG62" s="1222"/>
      <c r="AH62" s="1222"/>
      <c r="AI62" s="1222"/>
      <c r="AJ62" s="1222"/>
      <c r="AK62" s="1222"/>
      <c r="AL62" s="1222"/>
      <c r="AM62" s="1222"/>
      <c r="AN62" s="1222"/>
      <c r="AO62" s="1222"/>
      <c r="AP62" s="1222"/>
      <c r="AQ62" s="1222"/>
      <c r="AR62" s="1222"/>
      <c r="AS62" s="1222"/>
      <c r="AT62" s="1222"/>
      <c r="AU62" s="1222"/>
      <c r="AV62" s="1222"/>
      <c r="AW62" s="1222"/>
      <c r="AX62" s="1222"/>
      <c r="AY62" s="1222"/>
      <c r="AZ62" s="1222"/>
      <c r="BA62" s="1222"/>
      <c r="BB62" s="1222"/>
      <c r="BC62" s="1222"/>
      <c r="BD62" s="1222"/>
      <c r="BE62" s="1222"/>
      <c r="BF62" s="1222"/>
      <c r="BG62" s="1222"/>
      <c r="BH62" s="1222"/>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Emissioni di CO2 duranta di vita dell'impianto</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Emissioni di CO2 causate da perdite di prodotti refrigeranti</v>
      </c>
      <c r="F68" s="182"/>
      <c r="G68" s="182"/>
      <c r="H68" s="182"/>
      <c r="I68" s="182"/>
      <c r="J68" s="182"/>
      <c r="K68" s="182"/>
      <c r="L68" s="182"/>
      <c r="M68" s="182"/>
      <c r="N68" s="182"/>
      <c r="O68" s="182"/>
      <c r="P68" s="182"/>
      <c r="Q68" s="182"/>
      <c r="R68" s="182"/>
      <c r="S68" s="182" t="s">
        <v>242</v>
      </c>
      <c r="T68" s="182"/>
      <c r="U68" s="182"/>
      <c r="V68" s="182"/>
      <c r="W68" s="182"/>
      <c r="X68" s="182"/>
      <c r="Z68" s="182"/>
      <c r="AA68" s="1587">
        <f>AA109</f>
        <v>0</v>
      </c>
      <c r="AB68" s="1587"/>
      <c r="AC68" s="1587"/>
      <c r="AD68" s="1587"/>
      <c r="AE68" s="1587"/>
      <c r="AF68" s="1587"/>
      <c r="AG68" s="1587"/>
      <c r="AH68" s="1587"/>
      <c r="AI68" s="1587"/>
      <c r="AJ68" s="1587"/>
      <c r="AL68" s="1624">
        <f>IF(AA$71=0,0,AA68/AA$71)</f>
        <v>0</v>
      </c>
      <c r="AM68" s="1624"/>
      <c r="AN68" s="1624"/>
      <c r="AO68" s="1624"/>
      <c r="AP68" s="267"/>
      <c r="AQ68" s="124"/>
      <c r="AR68" s="124"/>
      <c r="AS68" s="268"/>
      <c r="AT68" s="1587">
        <f>AT109</f>
        <v>0</v>
      </c>
      <c r="AU68" s="1587"/>
      <c r="AV68" s="1587"/>
      <c r="AW68" s="1587"/>
      <c r="AX68" s="1587"/>
      <c r="AY68" s="1587"/>
      <c r="AZ68" s="1587"/>
      <c r="BA68" s="1587"/>
      <c r="BB68" s="1587"/>
      <c r="BC68" s="1587"/>
      <c r="BE68" s="1624">
        <f>IF(AT$71=0,0,AT68/AT$71)</f>
        <v>0</v>
      </c>
      <c r="BF68" s="1624"/>
      <c r="BG68" s="1624"/>
      <c r="BH68" s="1624"/>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Emissioni di CO2 per  da recupero</v>
      </c>
      <c r="F69" s="182"/>
      <c r="G69" s="182"/>
      <c r="H69" s="182"/>
      <c r="I69" s="182"/>
      <c r="J69" s="182"/>
      <c r="K69" s="182"/>
      <c r="L69" s="182"/>
      <c r="M69" s="182"/>
      <c r="N69" s="182"/>
      <c r="O69" s="182"/>
      <c r="P69" s="182"/>
      <c r="Q69" s="182"/>
      <c r="R69" s="182"/>
      <c r="S69" s="182" t="s">
        <v>242</v>
      </c>
      <c r="T69" s="182"/>
      <c r="U69" s="182"/>
      <c r="V69" s="182"/>
      <c r="W69" s="182"/>
      <c r="X69" s="182"/>
      <c r="Z69" s="182"/>
      <c r="AA69" s="1587">
        <f>AA116</f>
        <v>0</v>
      </c>
      <c r="AB69" s="1587"/>
      <c r="AC69" s="1587"/>
      <c r="AD69" s="1587"/>
      <c r="AE69" s="1587"/>
      <c r="AF69" s="1587"/>
      <c r="AG69" s="1587"/>
      <c r="AH69" s="1587"/>
      <c r="AI69" s="1587"/>
      <c r="AJ69" s="1587"/>
      <c r="AL69" s="1624">
        <f t="shared" ref="AL69:AL70" si="0">IF(AA$71=0,0,AA69/AA$71)</f>
        <v>0</v>
      </c>
      <c r="AM69" s="1624"/>
      <c r="AN69" s="1624"/>
      <c r="AO69" s="1624"/>
      <c r="AP69" s="267"/>
      <c r="AQ69" s="124"/>
      <c r="AR69" s="124"/>
      <c r="AS69" s="268"/>
      <c r="AT69" s="1607">
        <f>AT116</f>
        <v>0</v>
      </c>
      <c r="AU69" s="1607"/>
      <c r="AV69" s="1607"/>
      <c r="AW69" s="1607"/>
      <c r="AX69" s="1607"/>
      <c r="AY69" s="1607"/>
      <c r="AZ69" s="1607"/>
      <c r="BA69" s="1607"/>
      <c r="BB69" s="1607"/>
      <c r="BC69" s="1607"/>
      <c r="BE69" s="1624">
        <f t="shared" ref="BE69:BE70" si="1">IF(AT$71=0,0,AT69/AT$71)</f>
        <v>0</v>
      </c>
      <c r="BF69" s="1624"/>
      <c r="BG69" s="1624"/>
      <c r="BH69" s="1624"/>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Emissioni di CO2 per consumo di elettricità</v>
      </c>
      <c r="F70" s="182"/>
      <c r="G70" s="182"/>
      <c r="H70" s="182"/>
      <c r="I70" s="182"/>
      <c r="J70" s="182"/>
      <c r="K70" s="182"/>
      <c r="L70" s="182"/>
      <c r="M70" s="182"/>
      <c r="N70" s="182"/>
      <c r="O70" s="182"/>
      <c r="P70" s="182"/>
      <c r="Q70" s="182"/>
      <c r="R70" s="182"/>
      <c r="S70" s="182" t="s">
        <v>242</v>
      </c>
      <c r="T70" s="182"/>
      <c r="U70" s="182"/>
      <c r="V70" s="182"/>
      <c r="W70" s="182"/>
      <c r="X70" s="182"/>
      <c r="Z70" s="182"/>
      <c r="AA70" s="1587">
        <f>AA125</f>
        <v>0</v>
      </c>
      <c r="AB70" s="1587"/>
      <c r="AC70" s="1587"/>
      <c r="AD70" s="1587"/>
      <c r="AE70" s="1587"/>
      <c r="AF70" s="1587"/>
      <c r="AG70" s="1587"/>
      <c r="AH70" s="1587"/>
      <c r="AI70" s="1587"/>
      <c r="AJ70" s="1587"/>
      <c r="AL70" s="1624">
        <f t="shared" si="0"/>
        <v>0</v>
      </c>
      <c r="AM70" s="1624"/>
      <c r="AN70" s="1624"/>
      <c r="AO70" s="1624"/>
      <c r="AP70" s="267"/>
      <c r="AQ70" s="124"/>
      <c r="AR70" s="124"/>
      <c r="AS70" s="268"/>
      <c r="AT70" s="1587">
        <f>AT125</f>
        <v>0</v>
      </c>
      <c r="AU70" s="1587"/>
      <c r="AV70" s="1587"/>
      <c r="AW70" s="1587"/>
      <c r="AX70" s="1587"/>
      <c r="AY70" s="1587"/>
      <c r="AZ70" s="1587"/>
      <c r="BA70" s="1587"/>
      <c r="BB70" s="1587"/>
      <c r="BC70" s="1587"/>
      <c r="BE70" s="1624">
        <f t="shared" si="1"/>
        <v>0</v>
      </c>
      <c r="BF70" s="1624"/>
      <c r="BG70" s="1624"/>
      <c r="BH70" s="1624"/>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Emissioni di CO2 impianto di refrigerazione</v>
      </c>
      <c r="F71" s="675"/>
      <c r="G71" s="675"/>
      <c r="H71" s="675"/>
      <c r="I71" s="675"/>
      <c r="J71" s="675"/>
      <c r="K71" s="675"/>
      <c r="L71" s="675"/>
      <c r="M71" s="675"/>
      <c r="N71" s="675"/>
      <c r="O71" s="675"/>
      <c r="P71" s="675"/>
      <c r="Q71" s="675"/>
      <c r="R71" s="675"/>
      <c r="S71" s="675" t="s">
        <v>242</v>
      </c>
      <c r="T71" s="675"/>
      <c r="U71" s="675"/>
      <c r="V71" s="675"/>
      <c r="W71" s="675"/>
      <c r="X71" s="675"/>
      <c r="Z71" s="675"/>
      <c r="AA71" s="1390">
        <f>SUM(AA65:AJ70)</f>
        <v>0</v>
      </c>
      <c r="AB71" s="1390"/>
      <c r="AC71" s="1390"/>
      <c r="AD71" s="1390"/>
      <c r="AE71" s="1390"/>
      <c r="AF71" s="1390"/>
      <c r="AG71" s="1390"/>
      <c r="AH71" s="1390"/>
      <c r="AI71" s="1390"/>
      <c r="AJ71" s="1390"/>
      <c r="AL71" s="1651">
        <f>IF(AA$71=0,0,AA71/AA$71)</f>
        <v>0</v>
      </c>
      <c r="AM71" s="1651"/>
      <c r="AN71" s="1651"/>
      <c r="AO71" s="1651"/>
      <c r="AP71" s="269"/>
      <c r="AS71" s="676"/>
      <c r="AT71" s="1390">
        <f>SUM(AT65:BC70)</f>
        <v>0</v>
      </c>
      <c r="AU71" s="1390"/>
      <c r="AV71" s="1390"/>
      <c r="AW71" s="1390"/>
      <c r="AX71" s="1390"/>
      <c r="AY71" s="1390"/>
      <c r="AZ71" s="1390"/>
      <c r="BA71" s="1390"/>
      <c r="BB71" s="1390"/>
      <c r="BC71" s="1390"/>
      <c r="BE71" s="1651">
        <f>IF(AT$71=0,0,AT71/AT$71)</f>
        <v>0</v>
      </c>
      <c r="BF71" s="1651"/>
      <c r="BG71" s="1651"/>
      <c r="BH71" s="1651"/>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Riduzione grazie al recupero del calore</v>
      </c>
      <c r="F73" s="182"/>
      <c r="G73" s="182"/>
      <c r="H73" s="182"/>
      <c r="I73" s="182"/>
      <c r="J73" s="182"/>
      <c r="K73" s="182"/>
      <c r="L73" s="182"/>
      <c r="M73" s="182"/>
      <c r="N73" s="182"/>
      <c r="O73" s="182"/>
      <c r="P73" s="182"/>
      <c r="Q73" s="182"/>
      <c r="R73" s="182"/>
      <c r="S73" s="182" t="s">
        <v>242</v>
      </c>
      <c r="T73" s="182"/>
      <c r="U73" s="182"/>
      <c r="V73" s="182"/>
      <c r="W73" s="182"/>
      <c r="X73" s="182"/>
      <c r="Z73" s="182"/>
      <c r="AA73" s="1587">
        <f>IF(AA70=0,0,-AA134)</f>
        <v>0</v>
      </c>
      <c r="AB73" s="1587"/>
      <c r="AC73" s="1587"/>
      <c r="AD73" s="1587"/>
      <c r="AE73" s="1587"/>
      <c r="AF73" s="1587"/>
      <c r="AG73" s="1587"/>
      <c r="AH73" s="1587"/>
      <c r="AI73" s="1587"/>
      <c r="AJ73" s="1587"/>
      <c r="AL73" s="269"/>
      <c r="AM73" s="269"/>
      <c r="AN73" s="269"/>
      <c r="AO73" s="269"/>
      <c r="AP73" s="267"/>
      <c r="AQ73" s="124"/>
      <c r="AR73" s="124"/>
      <c r="AS73" s="268"/>
      <c r="AT73" s="1587">
        <f>IF(AT70=0,0,-AT134)</f>
        <v>0</v>
      </c>
      <c r="AU73" s="1587"/>
      <c r="AV73" s="1587"/>
      <c r="AW73" s="1587"/>
      <c r="AX73" s="1587"/>
      <c r="AY73" s="1587"/>
      <c r="AZ73" s="1587"/>
      <c r="BA73" s="1587"/>
      <c r="BB73" s="1587"/>
      <c r="BC73" s="1587"/>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7">
        <f>INT(AA71+AA73)</f>
        <v>0</v>
      </c>
      <c r="AB74" s="1587"/>
      <c r="AC74" s="1587"/>
      <c r="AD74" s="1587"/>
      <c r="AE74" s="1587"/>
      <c r="AF74" s="1587"/>
      <c r="AG74" s="1587"/>
      <c r="AH74" s="1587"/>
      <c r="AI74" s="1587"/>
      <c r="AJ74" s="1587">
        <v>352800</v>
      </c>
      <c r="AS74" s="182"/>
      <c r="AT74" s="1587">
        <f>INT(AT71+AT73)</f>
        <v>0</v>
      </c>
      <c r="AU74" s="1587"/>
      <c r="AV74" s="1587"/>
      <c r="AW74" s="1587"/>
      <c r="AX74" s="1587"/>
      <c r="AY74" s="1587"/>
      <c r="AZ74" s="1587"/>
      <c r="BA74" s="1587"/>
      <c r="BB74" s="1587"/>
      <c r="BC74" s="1587">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6">
        <f>IF(LEN(AA74)&lt;3,0,IF(LEN(AA74)=3,-1,IF(LEN(AA74)=4,-2,-3)))</f>
        <v>0</v>
      </c>
      <c r="AB75" s="1586"/>
      <c r="AC75" s="1586"/>
      <c r="AD75" s="1586"/>
      <c r="AE75" s="1586"/>
      <c r="AF75" s="1586"/>
      <c r="AG75" s="1586"/>
      <c r="AH75" s="1586"/>
      <c r="AI75" s="1586"/>
      <c r="AJ75" s="1586">
        <v>-3</v>
      </c>
      <c r="AS75" s="182"/>
      <c r="AT75" s="1586">
        <f>IF(LEN(AT74)&lt;3,0,IF(LEN(AT74)=3,-1,IF(LEN(AT74)=4,-2,-3)))</f>
        <v>0</v>
      </c>
      <c r="AU75" s="1586"/>
      <c r="AV75" s="1586"/>
      <c r="AW75" s="1586"/>
      <c r="AX75" s="1586"/>
      <c r="AY75" s="1586"/>
      <c r="AZ75" s="1586"/>
      <c r="BA75" s="1586"/>
      <c r="BB75" s="1586"/>
      <c r="BC75" s="1586">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Emissioni CO2 totali</v>
      </c>
      <c r="F76" s="157"/>
      <c r="G76" s="157"/>
      <c r="H76" s="157"/>
      <c r="I76" s="157"/>
      <c r="J76" s="157"/>
      <c r="K76" s="157"/>
      <c r="L76" s="157"/>
      <c r="M76" s="157"/>
      <c r="N76" s="157"/>
      <c r="O76" s="157"/>
      <c r="P76" s="157"/>
      <c r="Q76" s="157"/>
      <c r="R76" s="157"/>
      <c r="S76" s="157" t="s">
        <v>254</v>
      </c>
      <c r="T76" s="157"/>
      <c r="U76" s="157"/>
      <c r="V76" s="157"/>
      <c r="W76" s="157"/>
      <c r="X76" s="157"/>
      <c r="Z76" s="157"/>
      <c r="AA76" s="1585">
        <f>ROUND(AA74,AA75)</f>
        <v>0</v>
      </c>
      <c r="AB76" s="1585"/>
      <c r="AC76" s="1585"/>
      <c r="AD76" s="1585"/>
      <c r="AE76" s="1585"/>
      <c r="AF76" s="1585"/>
      <c r="AG76" s="1585"/>
      <c r="AH76" s="1585"/>
      <c r="AI76" s="1585"/>
      <c r="AJ76" s="1585"/>
      <c r="AL76" s="679" t="str">
        <f>X!C386</f>
        <v>arrotondati</v>
      </c>
      <c r="AM76" s="269"/>
      <c r="AN76" s="269"/>
      <c r="AO76" s="269"/>
      <c r="AP76" s="269"/>
      <c r="AS76" s="268"/>
      <c r="AT76" s="1585">
        <f>ROUND(AT74,AT75)</f>
        <v>0</v>
      </c>
      <c r="AU76" s="1585"/>
      <c r="AV76" s="1585"/>
      <c r="AW76" s="1585"/>
      <c r="AX76" s="1585"/>
      <c r="AY76" s="1585"/>
      <c r="AZ76" s="1585"/>
      <c r="BA76" s="1585"/>
      <c r="BB76" s="1585"/>
      <c r="BC76" s="1585"/>
      <c r="BE76" s="680" t="str">
        <f>AL76</f>
        <v>arrotondati</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Emissioni di CO2 all'anno</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Vita</v>
      </c>
      <c r="F80" s="182"/>
      <c r="G80" s="182"/>
      <c r="H80" s="182"/>
      <c r="I80" s="182"/>
      <c r="J80" s="182"/>
      <c r="K80" s="182"/>
      <c r="L80" s="182"/>
      <c r="M80" s="182"/>
      <c r="N80" s="182"/>
      <c r="O80" s="182"/>
      <c r="P80" s="182"/>
      <c r="Q80" s="182"/>
      <c r="R80" s="182"/>
      <c r="S80" s="182" t="str">
        <f>S97</f>
        <v>Anni</v>
      </c>
      <c r="T80" s="182"/>
      <c r="U80" s="182"/>
      <c r="V80" s="182"/>
      <c r="W80" s="182"/>
      <c r="X80" s="182"/>
      <c r="Z80" s="182"/>
      <c r="AA80" s="1587">
        <f>AA97</f>
        <v>0</v>
      </c>
      <c r="AB80" s="1587"/>
      <c r="AC80" s="1587"/>
      <c r="AD80" s="1587"/>
      <c r="AE80" s="1587"/>
      <c r="AF80" s="1587"/>
      <c r="AG80" s="1587"/>
      <c r="AH80" s="1587"/>
      <c r="AI80" s="1587"/>
      <c r="AJ80" s="1587">
        <v>352800</v>
      </c>
      <c r="AL80" s="270"/>
      <c r="AM80" s="270"/>
      <c r="AN80" s="124"/>
      <c r="AO80" s="124"/>
      <c r="AP80" s="124"/>
      <c r="AQ80" s="124"/>
      <c r="AR80" s="124"/>
      <c r="AS80" s="268"/>
      <c r="AT80" s="1587">
        <f>AT97</f>
        <v>0</v>
      </c>
      <c r="AU80" s="1587"/>
      <c r="AV80" s="1587"/>
      <c r="AW80" s="1587"/>
      <c r="AX80" s="1587"/>
      <c r="AY80" s="1587"/>
      <c r="AZ80" s="1587"/>
      <c r="BA80" s="1587"/>
      <c r="BB80" s="1587"/>
      <c r="BC80" s="1587">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7">
        <f>IF(AA97=0,0,INT(AA76/AA97))</f>
        <v>0</v>
      </c>
      <c r="AB81" s="1587"/>
      <c r="AC81" s="1587"/>
      <c r="AD81" s="1587"/>
      <c r="AE81" s="1587"/>
      <c r="AF81" s="1587"/>
      <c r="AG81" s="1587"/>
      <c r="AH81" s="1587"/>
      <c r="AI81" s="1587"/>
      <c r="AJ81" s="1587">
        <v>352800</v>
      </c>
      <c r="AL81" s="270"/>
      <c r="AM81" s="270"/>
      <c r="AN81" s="124"/>
      <c r="AO81" s="124"/>
      <c r="AP81" s="124"/>
      <c r="AQ81" s="124"/>
      <c r="AR81" s="124"/>
      <c r="AS81" s="124"/>
      <c r="AT81" s="1587">
        <f>IF(AT97=0,0,INT(AT76/AT97))</f>
        <v>0</v>
      </c>
      <c r="AU81" s="1587"/>
      <c r="AV81" s="1587"/>
      <c r="AW81" s="1587"/>
      <c r="AX81" s="1587"/>
      <c r="AY81" s="1587"/>
      <c r="AZ81" s="1587"/>
      <c r="BA81" s="1587"/>
      <c r="BB81" s="1587"/>
      <c r="BC81" s="1587">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6">
        <f>IF(LEN(AA81)&lt;3,0,IF(LEN(AA81)=3,-1,IF(LEN(AA81)=4,-2,-3)))</f>
        <v>0</v>
      </c>
      <c r="AB82" s="1586"/>
      <c r="AC82" s="1586"/>
      <c r="AD82" s="1586"/>
      <c r="AE82" s="1586"/>
      <c r="AF82" s="1586"/>
      <c r="AG82" s="1586"/>
      <c r="AH82" s="1586"/>
      <c r="AI82" s="1586"/>
      <c r="AJ82" s="1586">
        <v>-3</v>
      </c>
      <c r="AL82" s="270"/>
      <c r="AM82" s="270"/>
      <c r="AN82" s="124"/>
      <c r="AO82" s="124"/>
      <c r="AP82" s="124"/>
      <c r="AQ82" s="124"/>
      <c r="AR82" s="124"/>
      <c r="AS82" s="124"/>
      <c r="AT82" s="1586">
        <f>IF(LEN(AT81)&lt;3,0,IF(LEN(AT81)=3,-1,IF(LEN(AT81)=4,-2,-3)))</f>
        <v>0</v>
      </c>
      <c r="AU82" s="1586"/>
      <c r="AV82" s="1586"/>
      <c r="AW82" s="1586"/>
      <c r="AX82" s="1586"/>
      <c r="AY82" s="1586"/>
      <c r="AZ82" s="1586"/>
      <c r="BA82" s="1586"/>
      <c r="BB82" s="1586"/>
      <c r="BC82" s="1586">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Emissioni di CO2 all'anno</v>
      </c>
      <c r="F83" s="182"/>
      <c r="G83" s="182"/>
      <c r="H83" s="182"/>
      <c r="I83" s="182"/>
      <c r="J83" s="182"/>
      <c r="K83" s="182"/>
      <c r="L83" s="182"/>
      <c r="M83" s="182"/>
      <c r="N83" s="182"/>
      <c r="O83" s="182"/>
      <c r="P83" s="182"/>
      <c r="Q83" s="182"/>
      <c r="R83" s="182"/>
      <c r="S83" s="182" t="s">
        <v>242</v>
      </c>
      <c r="T83" s="182"/>
      <c r="U83" s="182"/>
      <c r="V83" s="182"/>
      <c r="W83" s="182"/>
      <c r="X83" s="182"/>
      <c r="Z83" s="182"/>
      <c r="AA83" s="1587">
        <f>ROUND(AA81,AA82)</f>
        <v>0</v>
      </c>
      <c r="AB83" s="1587"/>
      <c r="AC83" s="1587"/>
      <c r="AD83" s="1587"/>
      <c r="AE83" s="1587"/>
      <c r="AF83" s="1587"/>
      <c r="AG83" s="1587"/>
      <c r="AH83" s="1587"/>
      <c r="AI83" s="1587"/>
      <c r="AJ83" s="1587">
        <v>353000</v>
      </c>
      <c r="AL83" s="270"/>
      <c r="AM83" s="270"/>
      <c r="AN83" s="124"/>
      <c r="AO83" s="124"/>
      <c r="AP83" s="124"/>
      <c r="AQ83" s="124"/>
      <c r="AR83" s="124"/>
      <c r="AS83" s="268"/>
      <c r="AT83" s="1587">
        <f>ROUND(AT81,AT82)</f>
        <v>0</v>
      </c>
      <c r="AU83" s="1587"/>
      <c r="AV83" s="1587"/>
      <c r="AW83" s="1587"/>
      <c r="AX83" s="1587"/>
      <c r="AY83" s="1587"/>
      <c r="AZ83" s="1587"/>
      <c r="BA83" s="1587"/>
      <c r="BB83" s="1587"/>
      <c r="BC83" s="1587">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Mostrare i dettagli sul calcolo?</v>
      </c>
      <c r="E87" s="110"/>
      <c r="F87" s="110"/>
      <c r="G87" s="110"/>
      <c r="H87" s="110"/>
      <c r="I87" s="110"/>
      <c r="J87" s="110"/>
      <c r="K87" s="110"/>
      <c r="L87" s="110"/>
      <c r="M87" s="110"/>
      <c r="N87" s="110"/>
      <c r="O87" s="110"/>
      <c r="P87" s="110"/>
      <c r="Q87" s="110"/>
      <c r="R87" s="110"/>
      <c r="S87" s="110"/>
      <c r="T87" s="1481" t="s">
        <v>215</v>
      </c>
      <c r="U87" s="1481"/>
      <c r="V87" s="1482"/>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Calcolo</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Specifiche dell'impianto</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Tipo di impianto</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08">
        <f>'1 System specification'!AP105</f>
        <v>0</v>
      </c>
      <c r="AB96" s="1608"/>
      <c r="AC96" s="1608"/>
      <c r="AD96" s="1608"/>
      <c r="AE96" s="1608"/>
      <c r="AF96" s="1608"/>
      <c r="AG96" s="1608"/>
      <c r="AH96" s="1608"/>
      <c r="AI96" s="1608"/>
      <c r="AJ96" s="1608"/>
      <c r="AL96" s="671"/>
      <c r="AM96" s="671"/>
      <c r="AN96" s="671"/>
      <c r="AO96" s="671"/>
      <c r="AS96" s="673"/>
      <c r="AT96" s="1608">
        <f>AA96</f>
        <v>0</v>
      </c>
      <c r="AU96" s="1608"/>
      <c r="AV96" s="1608"/>
      <c r="AW96" s="1608"/>
      <c r="AX96" s="1608"/>
      <c r="AY96" s="1608"/>
      <c r="AZ96" s="1608"/>
      <c r="BA96" s="1608"/>
      <c r="BB96" s="1608"/>
      <c r="BC96" s="1608"/>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Vita</v>
      </c>
      <c r="E97" s="191"/>
      <c r="F97" s="191"/>
      <c r="G97" s="191"/>
      <c r="H97" s="191"/>
      <c r="I97" s="191"/>
      <c r="J97" s="191"/>
      <c r="K97" s="191"/>
      <c r="L97" s="191"/>
      <c r="M97" s="191"/>
      <c r="N97" s="191"/>
      <c r="O97" s="191"/>
      <c r="P97" s="191"/>
      <c r="Q97" s="191"/>
      <c r="R97" s="191"/>
      <c r="S97" s="403" t="str">
        <f>X!$C$131</f>
        <v>Anni</v>
      </c>
      <c r="T97" s="191"/>
      <c r="U97" s="191"/>
      <c r="V97" s="191"/>
      <c r="W97" s="191"/>
      <c r="X97" s="191"/>
      <c r="Y97" s="191"/>
      <c r="Z97" s="191"/>
      <c r="AA97" s="1630">
        <f>AH285</f>
        <v>0</v>
      </c>
      <c r="AB97" s="1630"/>
      <c r="AC97" s="1630"/>
      <c r="AD97" s="1630"/>
      <c r="AE97" s="1630"/>
      <c r="AF97" s="1630"/>
      <c r="AG97" s="1630"/>
      <c r="AH97" s="1630"/>
      <c r="AI97" s="1630"/>
      <c r="AJ97" s="1630"/>
      <c r="AL97" s="182"/>
      <c r="AM97" s="182"/>
      <c r="AN97" s="182"/>
      <c r="AO97" s="182"/>
      <c r="AS97" s="191"/>
      <c r="AT97" s="1630">
        <f>BA285</f>
        <v>0</v>
      </c>
      <c r="AU97" s="1630"/>
      <c r="AV97" s="1630"/>
      <c r="AW97" s="1630"/>
      <c r="AX97" s="1630"/>
      <c r="AY97" s="1630"/>
      <c r="AZ97" s="1630"/>
      <c r="BA97" s="1630"/>
      <c r="BB97" s="1630"/>
      <c r="BC97" s="1630"/>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Refrigerante</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630">
        <f>Z33</f>
        <v>0</v>
      </c>
      <c r="AB98" s="1630"/>
      <c r="AC98" s="1630"/>
      <c r="AD98" s="1630"/>
      <c r="AE98" s="1630"/>
      <c r="AF98" s="1630"/>
      <c r="AG98" s="1630"/>
      <c r="AH98" s="1630"/>
      <c r="AI98" s="1630"/>
      <c r="AJ98" s="1630"/>
      <c r="AL98" s="182"/>
      <c r="AM98" s="182"/>
      <c r="AN98" s="182"/>
      <c r="AO98" s="182"/>
      <c r="AS98" s="191"/>
      <c r="AT98" s="1630">
        <f>AS33</f>
        <v>0</v>
      </c>
      <c r="AU98" s="1630"/>
      <c r="AV98" s="1630"/>
      <c r="AW98" s="1630"/>
      <c r="AX98" s="1630"/>
      <c r="AY98" s="1630"/>
      <c r="AZ98" s="1630"/>
      <c r="BA98" s="1630"/>
      <c r="BB98" s="1630"/>
      <c r="BC98" s="1630"/>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Refrigerante GWP</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7">
        <f>AH255</f>
        <v>0</v>
      </c>
      <c r="AB99" s="1607"/>
      <c r="AC99" s="1607"/>
      <c r="AD99" s="1607"/>
      <c r="AE99" s="1607"/>
      <c r="AF99" s="1607"/>
      <c r="AG99" s="1607"/>
      <c r="AH99" s="1607"/>
      <c r="AI99" s="1607"/>
      <c r="AJ99" s="1607"/>
      <c r="AL99" s="279"/>
      <c r="AM99" s="279"/>
      <c r="AN99" s="191"/>
      <c r="AO99" s="191"/>
      <c r="AS99" s="191"/>
      <c r="AT99" s="1607">
        <f>BA255</f>
        <v>0</v>
      </c>
      <c r="AU99" s="1607"/>
      <c r="AV99" s="1607"/>
      <c r="AW99" s="1607"/>
      <c r="AX99" s="1607"/>
      <c r="AY99" s="1607"/>
      <c r="AZ99" s="1607"/>
      <c r="BA99" s="1607"/>
      <c r="BB99" s="1607"/>
      <c r="BC99" s="1607"/>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Carica di riemplemento dell'impianto</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630">
        <f>Z38</f>
        <v>0</v>
      </c>
      <c r="AB100" s="1630"/>
      <c r="AC100" s="1630"/>
      <c r="AD100" s="1630"/>
      <c r="AE100" s="1630"/>
      <c r="AF100" s="1630"/>
      <c r="AG100" s="1630"/>
      <c r="AH100" s="1630"/>
      <c r="AI100" s="1630"/>
      <c r="AJ100" s="1630"/>
      <c r="AL100" s="182"/>
      <c r="AM100" s="182"/>
      <c r="AN100" s="182"/>
      <c r="AO100" s="182"/>
      <c r="AS100" s="191"/>
      <c r="AT100" s="1630">
        <f>AS38</f>
        <v>0</v>
      </c>
      <c r="AU100" s="1630"/>
      <c r="AV100" s="1630"/>
      <c r="AW100" s="1630"/>
      <c r="AX100" s="1630"/>
      <c r="AY100" s="1630"/>
      <c r="AZ100" s="1630"/>
      <c r="BA100" s="1630"/>
      <c r="BB100" s="1630"/>
      <c r="BC100" s="1630"/>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Consumo elettricità impianto di refrigerazione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7">
        <f>AA49</f>
        <v>0</v>
      </c>
      <c r="AB101" s="1607"/>
      <c r="AC101" s="1607"/>
      <c r="AD101" s="1607"/>
      <c r="AE101" s="1607"/>
      <c r="AF101" s="1607"/>
      <c r="AG101" s="1607"/>
      <c r="AH101" s="1607"/>
      <c r="AI101" s="1607"/>
      <c r="AJ101" s="1607"/>
      <c r="AL101" s="182"/>
      <c r="AM101" s="182"/>
      <c r="AN101" s="182"/>
      <c r="AO101" s="182"/>
      <c r="AS101" s="191"/>
      <c r="AT101" s="1607">
        <f>AT49</f>
        <v>0</v>
      </c>
      <c r="AU101" s="1607"/>
      <c r="AV101" s="1607"/>
      <c r="AW101" s="1607"/>
      <c r="AX101" s="1607"/>
      <c r="AY101" s="1607"/>
      <c r="AZ101" s="1607"/>
      <c r="BA101" s="1607"/>
      <c r="BB101" s="1607"/>
      <c r="BC101" s="1607"/>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Tipo di compensazione del CO2</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33">
        <f>Z43</f>
        <v>0</v>
      </c>
      <c r="AB102" s="1633"/>
      <c r="AC102" s="1633"/>
      <c r="AD102" s="1633"/>
      <c r="AE102" s="1633"/>
      <c r="AF102" s="1633"/>
      <c r="AG102" s="1633"/>
      <c r="AH102" s="1633"/>
      <c r="AI102" s="1633"/>
      <c r="AJ102" s="1633"/>
      <c r="AL102" s="182"/>
      <c r="AM102" s="182"/>
      <c r="AN102" s="182"/>
      <c r="AO102" s="182"/>
      <c r="AS102" s="243"/>
      <c r="AT102" s="1611">
        <f>AS43</f>
        <v>0</v>
      </c>
      <c r="AU102" s="1611"/>
      <c r="AV102" s="1611"/>
      <c r="AW102" s="1611"/>
      <c r="AX102" s="1611"/>
      <c r="AY102" s="1611"/>
      <c r="AZ102" s="1611"/>
      <c r="BA102" s="1611"/>
      <c r="BB102" s="1611"/>
      <c r="BC102" s="1611"/>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Prezzo compensazione CO2</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34">
        <f>AH274</f>
        <v>29</v>
      </c>
      <c r="AB103" s="1634"/>
      <c r="AC103" s="1634"/>
      <c r="AD103" s="1634"/>
      <c r="AE103" s="1634"/>
      <c r="AF103" s="1634"/>
      <c r="AG103" s="1634"/>
      <c r="AH103" s="1634"/>
      <c r="AI103" s="1634"/>
      <c r="AJ103" s="1634"/>
      <c r="AL103" s="182"/>
      <c r="AM103" s="182"/>
      <c r="AN103" s="182"/>
      <c r="AO103" s="182"/>
      <c r="AS103" s="191"/>
      <c r="AT103" s="1603">
        <f>BA274</f>
        <v>29</v>
      </c>
      <c r="AU103" s="1603"/>
      <c r="AV103" s="1603"/>
      <c r="AW103" s="1603"/>
      <c r="AX103" s="1603"/>
      <c r="AY103" s="1603"/>
      <c r="AZ103" s="1603"/>
      <c r="BA103" s="1603"/>
      <c r="BB103" s="1603"/>
      <c r="BC103" s="1603"/>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Calcolo delle emissioni di CO2 causate da perdite di prodotti refrigeranti (in caso di lavori di riparazione, manutenzione e dovute a dispersione)</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Perdite di prodotti refrigeranti all'anno</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30">
        <f>K369</f>
        <v>1</v>
      </c>
      <c r="AB106" s="1330"/>
      <c r="AC106" s="1330"/>
      <c r="AD106" s="1330"/>
      <c r="AE106" s="1330"/>
      <c r="AF106" s="1330"/>
      <c r="AG106" s="1330"/>
      <c r="AH106" s="1330"/>
      <c r="AI106" s="1330"/>
      <c r="AJ106" s="1330">
        <v>0.15</v>
      </c>
      <c r="AL106" s="182"/>
      <c r="AM106" s="182"/>
      <c r="AN106" s="182"/>
      <c r="AO106" s="182"/>
      <c r="AS106" s="182"/>
      <c r="AT106" s="1330">
        <f>K413</f>
        <v>1</v>
      </c>
      <c r="AU106" s="1330"/>
      <c r="AV106" s="1330"/>
      <c r="AW106" s="1330"/>
      <c r="AX106" s="1330"/>
      <c r="AY106" s="1330"/>
      <c r="AZ106" s="1330"/>
      <c r="BA106" s="1330"/>
      <c r="BB106" s="1330"/>
      <c r="BC106" s="1330">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7">
        <f>INT(AA100*AA106*AA97*AA99)</f>
        <v>0</v>
      </c>
      <c r="AB107" s="1587"/>
      <c r="AC107" s="1587"/>
      <c r="AD107" s="1587"/>
      <c r="AE107" s="1587"/>
      <c r="AF107" s="1587"/>
      <c r="AG107" s="1587"/>
      <c r="AH107" s="1587"/>
      <c r="AI107" s="1587"/>
      <c r="AJ107" s="1587">
        <v>352800</v>
      </c>
      <c r="AL107" s="182"/>
      <c r="AM107" s="182"/>
      <c r="AN107" s="182"/>
      <c r="AO107" s="182"/>
      <c r="AS107" s="182"/>
      <c r="AT107" s="1587">
        <f>INT(AT100*AT106*AT97*AT99)</f>
        <v>0</v>
      </c>
      <c r="AU107" s="1587"/>
      <c r="AV107" s="1587"/>
      <c r="AW107" s="1587"/>
      <c r="AX107" s="1587"/>
      <c r="AY107" s="1587"/>
      <c r="AZ107" s="1587"/>
      <c r="BA107" s="1587"/>
      <c r="BB107" s="1587"/>
      <c r="BC107" s="1587">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6">
        <f>IF(LEN(AA107)&lt;3,0,IF(LEN(AA107)=3,-1,IF(LEN(AA107)=4,-2,-3)))</f>
        <v>0</v>
      </c>
      <c r="AB108" s="1586"/>
      <c r="AC108" s="1586"/>
      <c r="AD108" s="1586"/>
      <c r="AE108" s="1586"/>
      <c r="AF108" s="1586"/>
      <c r="AG108" s="1586"/>
      <c r="AH108" s="1586"/>
      <c r="AI108" s="1586"/>
      <c r="AJ108" s="1586">
        <v>-3</v>
      </c>
      <c r="AL108" s="182"/>
      <c r="AM108" s="182"/>
      <c r="AN108" s="182"/>
      <c r="AO108" s="182"/>
      <c r="AS108" s="182"/>
      <c r="AT108" s="1586">
        <f>IF(LEN(AT107)&lt;3,0,IF(LEN(AT107)=3,-1,IF(LEN(AT107)=4,-2,-3)))</f>
        <v>0</v>
      </c>
      <c r="AU108" s="1586"/>
      <c r="AV108" s="1586"/>
      <c r="AW108" s="1586"/>
      <c r="AX108" s="1586"/>
      <c r="AY108" s="1586"/>
      <c r="AZ108" s="1586"/>
      <c r="BA108" s="1586"/>
      <c r="BB108" s="1586"/>
      <c r="BC108" s="1586">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Emissioni di CO2 causate da perdite di prodotti refrigeranti</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7">
        <f>ROUND(AA107,AA108)</f>
        <v>0</v>
      </c>
      <c r="AB109" s="1587"/>
      <c r="AC109" s="1587"/>
      <c r="AD109" s="1587"/>
      <c r="AE109" s="1587"/>
      <c r="AF109" s="1587"/>
      <c r="AG109" s="1587"/>
      <c r="AH109" s="1587"/>
      <c r="AI109" s="1587"/>
      <c r="AJ109" s="1587">
        <v>353000</v>
      </c>
      <c r="AL109" s="182"/>
      <c r="AM109" s="182"/>
      <c r="AN109" s="182"/>
      <c r="AO109" s="182"/>
      <c r="AS109" s="182"/>
      <c r="AT109" s="1587">
        <f>ROUND(AT107,AT108)</f>
        <v>0</v>
      </c>
      <c r="AU109" s="1587"/>
      <c r="AV109" s="1587"/>
      <c r="AW109" s="1587"/>
      <c r="AX109" s="1587"/>
      <c r="AY109" s="1587"/>
      <c r="AZ109" s="1587"/>
      <c r="BA109" s="1587"/>
      <c r="BB109" s="1587"/>
      <c r="BC109" s="1587">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Calcolo delle emissioni di CO2 dovuto a perdite nel recupero del refrigerante</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Fattore di riciclo</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32">
        <f>K370</f>
        <v>0</v>
      </c>
      <c r="AB113" s="1586"/>
      <c r="AC113" s="1586"/>
      <c r="AD113" s="1586"/>
      <c r="AE113" s="1586"/>
      <c r="AF113" s="1586"/>
      <c r="AG113" s="1586"/>
      <c r="AH113" s="1586"/>
      <c r="AI113" s="1586"/>
      <c r="AJ113" s="1586">
        <v>0.15</v>
      </c>
      <c r="AL113" s="182"/>
      <c r="AM113" s="182"/>
      <c r="AN113" s="182"/>
      <c r="AO113" s="182"/>
      <c r="AS113" s="182"/>
      <c r="AT113" s="1632">
        <f>K414</f>
        <v>0</v>
      </c>
      <c r="AU113" s="1586"/>
      <c r="AV113" s="1586"/>
      <c r="AW113" s="1586"/>
      <c r="AX113" s="1586"/>
      <c r="AY113" s="1586"/>
      <c r="AZ113" s="1586"/>
      <c r="BA113" s="1586"/>
      <c r="BB113" s="1586"/>
      <c r="BC113" s="1586">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7">
        <f>INT(Z38*(1-AA113)*AA99)</f>
        <v>0</v>
      </c>
      <c r="AB114" s="1587"/>
      <c r="AC114" s="1587"/>
      <c r="AD114" s="1587"/>
      <c r="AE114" s="1587"/>
      <c r="AF114" s="1587"/>
      <c r="AG114" s="1587"/>
      <c r="AH114" s="1587"/>
      <c r="AI114" s="1587"/>
      <c r="AJ114" s="1587">
        <v>352800</v>
      </c>
      <c r="AL114" s="182"/>
      <c r="AM114" s="182"/>
      <c r="AN114" s="182"/>
      <c r="AO114" s="182"/>
      <c r="AS114" s="182"/>
      <c r="AT114" s="1587">
        <f>INT(AS38*(1-AT113)*AT99)</f>
        <v>0</v>
      </c>
      <c r="AU114" s="1587"/>
      <c r="AV114" s="1587"/>
      <c r="AW114" s="1587"/>
      <c r="AX114" s="1587"/>
      <c r="AY114" s="1587"/>
      <c r="AZ114" s="1587"/>
      <c r="BA114" s="1587"/>
      <c r="BB114" s="1587"/>
      <c r="BC114" s="1587">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6">
        <f>IF(LEN(AA114)&lt;3,0,IF(LEN(AA114)=3,-1,IF(LEN(AA114)=4,-2,-3)))</f>
        <v>0</v>
      </c>
      <c r="AB115" s="1586"/>
      <c r="AC115" s="1586"/>
      <c r="AD115" s="1586"/>
      <c r="AE115" s="1586"/>
      <c r="AF115" s="1586"/>
      <c r="AG115" s="1586"/>
      <c r="AH115" s="1586"/>
      <c r="AI115" s="1586"/>
      <c r="AJ115" s="1586">
        <v>-3</v>
      </c>
      <c r="AL115" s="182"/>
      <c r="AM115" s="182"/>
      <c r="AN115" s="182"/>
      <c r="AO115" s="182"/>
      <c r="AS115" s="182"/>
      <c r="AT115" s="1586">
        <f>IF(LEN(AT114)&lt;3,0,IF(LEN(AT114)=3,-1,IF(LEN(AT114)=4,-2,-3)))</f>
        <v>0</v>
      </c>
      <c r="AU115" s="1586"/>
      <c r="AV115" s="1586"/>
      <c r="AW115" s="1586"/>
      <c r="AX115" s="1586"/>
      <c r="AY115" s="1586"/>
      <c r="AZ115" s="1586"/>
      <c r="BA115" s="1586"/>
      <c r="BB115" s="1586"/>
      <c r="BC115" s="1586">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Emissioni di CO2 per  da recupero</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7">
        <f>ROUND(AA114,AA115)</f>
        <v>0</v>
      </c>
      <c r="AB116" s="1587"/>
      <c r="AC116" s="1587"/>
      <c r="AD116" s="1587"/>
      <c r="AE116" s="1587"/>
      <c r="AF116" s="1587"/>
      <c r="AG116" s="1587"/>
      <c r="AH116" s="1587"/>
      <c r="AI116" s="1587"/>
      <c r="AJ116" s="1587">
        <v>353000</v>
      </c>
      <c r="AL116" s="182"/>
      <c r="AM116" s="182"/>
      <c r="AN116" s="182"/>
      <c r="AO116" s="182"/>
      <c r="AS116" s="182"/>
      <c r="AT116" s="1587">
        <f>ROUND(AT114,AT115)</f>
        <v>0</v>
      </c>
      <c r="AU116" s="1587"/>
      <c r="AV116" s="1587"/>
      <c r="AW116" s="1587"/>
      <c r="AX116" s="1587"/>
      <c r="AY116" s="1587"/>
      <c r="AZ116" s="1587"/>
      <c r="BA116" s="1587"/>
      <c r="BB116" s="1587"/>
      <c r="BC116" s="1587">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Calcolo delle emissioni di CO2 in base al consumo di elettricità dell'impianto di refrigerazione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Fabbisogno elettricità</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7">
        <f>AA49</f>
        <v>0</v>
      </c>
      <c r="AB120" s="1587"/>
      <c r="AC120" s="1587"/>
      <c r="AD120" s="1587"/>
      <c r="AE120" s="1587"/>
      <c r="AF120" s="1587"/>
      <c r="AG120" s="1587"/>
      <c r="AH120" s="1587"/>
      <c r="AI120" s="1587"/>
      <c r="AJ120" s="1587">
        <v>0.15</v>
      </c>
      <c r="AL120" s="182"/>
      <c r="AM120" s="182"/>
      <c r="AN120" s="182"/>
      <c r="AO120" s="182"/>
      <c r="AS120" s="182"/>
      <c r="AT120" s="1587">
        <f>AT49</f>
        <v>0</v>
      </c>
      <c r="AU120" s="1587"/>
      <c r="AV120" s="1587"/>
      <c r="AW120" s="1587"/>
      <c r="AX120" s="1587"/>
      <c r="AY120" s="1587"/>
      <c r="AZ120" s="1587"/>
      <c r="BA120" s="1587"/>
      <c r="BB120" s="1587"/>
      <c r="BC120" s="1587">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Mix energetico</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6">
        <f>Z41</f>
        <v>0</v>
      </c>
      <c r="AB121" s="1586"/>
      <c r="AC121" s="1586"/>
      <c r="AD121" s="1586"/>
      <c r="AE121" s="1586"/>
      <c r="AF121" s="1586"/>
      <c r="AG121" s="1586"/>
      <c r="AH121" s="1586"/>
      <c r="AI121" s="1586"/>
      <c r="AJ121" s="1586">
        <v>353000</v>
      </c>
      <c r="AL121" s="182"/>
      <c r="AM121" s="182"/>
      <c r="AN121" s="182"/>
      <c r="AO121" s="182"/>
      <c r="AS121" s="182"/>
      <c r="AT121" s="1586">
        <f>AS41</f>
        <v>0</v>
      </c>
      <c r="AU121" s="1586"/>
      <c r="AV121" s="1586"/>
      <c r="AW121" s="1586"/>
      <c r="AX121" s="1586"/>
      <c r="AY121" s="1586"/>
      <c r="AZ121" s="1586"/>
      <c r="BA121" s="1586"/>
      <c r="BB121" s="1586"/>
      <c r="BC121" s="1586">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Fattore delle emissioni di CO2 elettricità</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6">
        <f>AH267</f>
        <v>0</v>
      </c>
      <c r="AB122" s="1586"/>
      <c r="AC122" s="1586"/>
      <c r="AD122" s="1586"/>
      <c r="AE122" s="1586"/>
      <c r="AF122" s="1586"/>
      <c r="AG122" s="1586"/>
      <c r="AH122" s="1586"/>
      <c r="AI122" s="1586"/>
      <c r="AJ122" s="1586">
        <v>353000</v>
      </c>
      <c r="AL122" s="182"/>
      <c r="AM122" s="182"/>
      <c r="AN122" s="182"/>
      <c r="AO122" s="182"/>
      <c r="AS122" s="182"/>
      <c r="AT122" s="1586">
        <f>BA267</f>
        <v>0</v>
      </c>
      <c r="AU122" s="1586"/>
      <c r="AV122" s="1586"/>
      <c r="AW122" s="1586"/>
      <c r="AX122" s="1586"/>
      <c r="AY122" s="1586"/>
      <c r="AZ122" s="1586"/>
      <c r="BA122" s="1586"/>
      <c r="BB122" s="1586"/>
      <c r="BC122" s="1586">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610">
        <f>INT(AA120*AA122*AA97)</f>
        <v>0</v>
      </c>
      <c r="AB123" s="1586"/>
      <c r="AC123" s="1586"/>
      <c r="AD123" s="1586"/>
      <c r="AE123" s="1586"/>
      <c r="AF123" s="1586"/>
      <c r="AG123" s="1586"/>
      <c r="AH123" s="1586"/>
      <c r="AI123" s="1586"/>
      <c r="AJ123" s="1586">
        <v>352800</v>
      </c>
      <c r="AL123" s="279"/>
      <c r="AM123" s="279"/>
      <c r="AN123" s="191"/>
      <c r="AO123" s="191"/>
      <c r="AS123" s="182"/>
      <c r="AT123" s="1610">
        <f>INT(AT120*AT122*AT97)</f>
        <v>0</v>
      </c>
      <c r="AU123" s="1586"/>
      <c r="AV123" s="1586"/>
      <c r="AW123" s="1586"/>
      <c r="AX123" s="1586"/>
      <c r="AY123" s="1586"/>
      <c r="AZ123" s="1586"/>
      <c r="BA123" s="1586"/>
      <c r="BB123" s="1586"/>
      <c r="BC123" s="1586">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6">
        <f>IF(LEN(AA123)&lt;3,0,IF(LEN(AA123)=3,-1,IF(LEN(AA123)=4,-2,-3)))</f>
        <v>0</v>
      </c>
      <c r="AB124" s="1586"/>
      <c r="AC124" s="1586"/>
      <c r="AD124" s="1586"/>
      <c r="AE124" s="1586"/>
      <c r="AF124" s="1586"/>
      <c r="AG124" s="1586"/>
      <c r="AH124" s="1586"/>
      <c r="AI124" s="1586"/>
      <c r="AJ124" s="1586">
        <v>-3</v>
      </c>
      <c r="AL124" s="279"/>
      <c r="AM124" s="279"/>
      <c r="AN124" s="191"/>
      <c r="AO124" s="191"/>
      <c r="AS124" s="182"/>
      <c r="AT124" s="1586">
        <f>IF(LEN(AT123)&lt;3,0,IF(LEN(AT123)=3,-1,IF(LEN(AT123)=4,-2,-3)))</f>
        <v>0</v>
      </c>
      <c r="AU124" s="1586"/>
      <c r="AV124" s="1586"/>
      <c r="AW124" s="1586"/>
      <c r="AX124" s="1586"/>
      <c r="AY124" s="1586"/>
      <c r="AZ124" s="1586"/>
      <c r="BA124" s="1586"/>
      <c r="BB124" s="1586"/>
      <c r="BC124" s="1586">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Emissioni di CO2 per consumo di elettricità</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7">
        <f>ROUND(AA123,AA124)</f>
        <v>0</v>
      </c>
      <c r="AB125" s="1587"/>
      <c r="AC125" s="1587"/>
      <c r="AD125" s="1587"/>
      <c r="AE125" s="1587"/>
      <c r="AF125" s="1587"/>
      <c r="AG125" s="1587"/>
      <c r="AH125" s="1587"/>
      <c r="AI125" s="1587"/>
      <c r="AJ125" s="1587">
        <v>353000</v>
      </c>
      <c r="AL125" s="182"/>
      <c r="AM125" s="182"/>
      <c r="AN125" s="182"/>
      <c r="AO125" s="182"/>
      <c r="AS125" s="182"/>
      <c r="AT125" s="1587">
        <f>ROUND(AT123,AT124)</f>
        <v>0</v>
      </c>
      <c r="AU125" s="1587"/>
      <c r="AV125" s="1587"/>
      <c r="AW125" s="1587"/>
      <c r="AX125" s="1587"/>
      <c r="AY125" s="1587"/>
      <c r="AZ125" s="1587"/>
      <c r="BA125" s="1587"/>
      <c r="BB125" s="1587"/>
      <c r="BC125" s="1587">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Calcolo della riduzione delle emissioni di CO2 grazie al recupero del calore</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Calore utilizzato</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7">
        <f>'1 System specification'!AA302</f>
        <v>0</v>
      </c>
      <c r="AB129" s="1587"/>
      <c r="AC129" s="1587"/>
      <c r="AD129" s="1587"/>
      <c r="AE129" s="1587"/>
      <c r="AF129" s="1587"/>
      <c r="AG129" s="1587"/>
      <c r="AH129" s="1587"/>
      <c r="AI129" s="1587"/>
      <c r="AJ129" s="1587"/>
      <c r="AL129" s="182"/>
      <c r="AM129" s="182"/>
      <c r="AN129" s="182"/>
      <c r="AO129" s="182"/>
      <c r="AS129" s="182"/>
      <c r="AT129" s="1587">
        <f>'1 System specification'!BR302</f>
        <v>0</v>
      </c>
      <c r="AU129" s="1587"/>
      <c r="AV129" s="1587"/>
      <c r="AW129" s="1587"/>
      <c r="AX129" s="1587"/>
      <c r="AY129" s="1587"/>
      <c r="AZ129" s="1587"/>
      <c r="BA129" s="1587"/>
      <c r="BB129" s="1587"/>
      <c r="BC129" s="1587">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Sistema di riscaldamento</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631" t="str">
        <f>IF(AA129=0,"",E54)</f>
        <v/>
      </c>
      <c r="AB130" s="1586"/>
      <c r="AC130" s="1586"/>
      <c r="AD130" s="1586"/>
      <c r="AE130" s="1586"/>
      <c r="AF130" s="1586"/>
      <c r="AG130" s="1586"/>
      <c r="AH130" s="1586"/>
      <c r="AI130" s="1586"/>
      <c r="AJ130" s="1586">
        <v>353000</v>
      </c>
      <c r="AL130" s="182"/>
      <c r="AM130" s="182"/>
      <c r="AN130" s="182"/>
      <c r="AO130" s="182"/>
      <c r="AS130" s="182"/>
      <c r="AT130" s="1631" t="str">
        <f>IF(AT129=0,"",E54)</f>
        <v/>
      </c>
      <c r="AU130" s="1586"/>
      <c r="AV130" s="1586"/>
      <c r="AW130" s="1586"/>
      <c r="AX130" s="1586"/>
      <c r="AY130" s="1586"/>
      <c r="AZ130" s="1586"/>
      <c r="BA130" s="1586"/>
      <c r="BB130" s="1586"/>
      <c r="BC130" s="1586">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Indice di emissioni CO2</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630" t="str">
        <f>IF(AA129=0,"",AH473)</f>
        <v/>
      </c>
      <c r="AB131" s="1630"/>
      <c r="AC131" s="1630"/>
      <c r="AD131" s="1630"/>
      <c r="AE131" s="1630"/>
      <c r="AF131" s="1630"/>
      <c r="AG131" s="1630"/>
      <c r="AH131" s="1630"/>
      <c r="AI131" s="1630"/>
      <c r="AJ131" s="1630">
        <v>353000</v>
      </c>
      <c r="AL131" s="182"/>
      <c r="AM131" s="182"/>
      <c r="AN131" s="182"/>
      <c r="AO131" s="182"/>
      <c r="AS131" s="182"/>
      <c r="AT131" s="1586" t="str">
        <f>IF(AT129=0,"",AH473)</f>
        <v/>
      </c>
      <c r="AU131" s="1586"/>
      <c r="AV131" s="1586"/>
      <c r="AW131" s="1586"/>
      <c r="AX131" s="1586"/>
      <c r="AY131" s="1586"/>
      <c r="AZ131" s="1586"/>
      <c r="BA131" s="1586"/>
      <c r="BB131" s="1586"/>
      <c r="BC131" s="1586">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610">
        <f>IF(AA129=0,0,INT(AA129*AA131*AA97))</f>
        <v>0</v>
      </c>
      <c r="AB132" s="1586"/>
      <c r="AC132" s="1586"/>
      <c r="AD132" s="1586"/>
      <c r="AE132" s="1586"/>
      <c r="AF132" s="1586"/>
      <c r="AG132" s="1586"/>
      <c r="AH132" s="1586"/>
      <c r="AI132" s="1586"/>
      <c r="AJ132" s="1586">
        <v>352800</v>
      </c>
      <c r="AL132" s="279"/>
      <c r="AM132" s="279"/>
      <c r="AN132" s="191"/>
      <c r="AO132" s="191"/>
      <c r="AS132" s="182"/>
      <c r="AT132" s="1610">
        <f>IF(AT129=0,0,INT(AT129*AT131*AT97))</f>
        <v>0</v>
      </c>
      <c r="AU132" s="1586"/>
      <c r="AV132" s="1586"/>
      <c r="AW132" s="1586"/>
      <c r="AX132" s="1586"/>
      <c r="AY132" s="1586"/>
      <c r="AZ132" s="1586"/>
      <c r="BA132" s="1586"/>
      <c r="BB132" s="1586"/>
      <c r="BC132" s="1586">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6">
        <f>IF(LEN(AA132)&lt;3,0,IF(LEN(AA132)=3,-1,IF(LEN(AA132)=4,-2,-3)))</f>
        <v>0</v>
      </c>
      <c r="AB133" s="1586"/>
      <c r="AC133" s="1586"/>
      <c r="AD133" s="1586"/>
      <c r="AE133" s="1586"/>
      <c r="AF133" s="1586"/>
      <c r="AG133" s="1586"/>
      <c r="AH133" s="1586"/>
      <c r="AI133" s="1586"/>
      <c r="AJ133" s="1586">
        <v>-3</v>
      </c>
      <c r="AL133" s="279"/>
      <c r="AM133" s="279"/>
      <c r="AN133" s="191"/>
      <c r="AO133" s="191"/>
      <c r="AS133" s="182"/>
      <c r="AT133" s="1586">
        <f>IF(LEN(AT132)&lt;3,0,IF(LEN(AT132)=3,-1,IF(LEN(AT132)=4,-2,-3)))</f>
        <v>0</v>
      </c>
      <c r="AU133" s="1586"/>
      <c r="AV133" s="1586"/>
      <c r="AW133" s="1586"/>
      <c r="AX133" s="1586"/>
      <c r="AY133" s="1586"/>
      <c r="AZ133" s="1586"/>
      <c r="BA133" s="1586"/>
      <c r="BB133" s="1586"/>
      <c r="BC133" s="1586">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Riduzione grazie al recupero del calore</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7">
        <f>ROUND(AA132,AA133)</f>
        <v>0</v>
      </c>
      <c r="AB134" s="1587"/>
      <c r="AC134" s="1587"/>
      <c r="AD134" s="1587"/>
      <c r="AE134" s="1587"/>
      <c r="AF134" s="1587"/>
      <c r="AG134" s="1587"/>
      <c r="AH134" s="1587"/>
      <c r="AI134" s="1587"/>
      <c r="AJ134" s="1587">
        <v>353000</v>
      </c>
      <c r="AL134" s="182"/>
      <c r="AM134" s="182"/>
      <c r="AN134" s="182"/>
      <c r="AO134" s="182"/>
      <c r="AS134" s="182"/>
      <c r="AT134" s="1587">
        <f>ROUND(AT132,AT133)</f>
        <v>0</v>
      </c>
      <c r="AU134" s="1587"/>
      <c r="AV134" s="1587"/>
      <c r="AW134" s="1587"/>
      <c r="AX134" s="1587"/>
      <c r="AY134" s="1587"/>
      <c r="AZ134" s="1587"/>
      <c r="BA134" s="1587"/>
      <c r="BB134" s="1587"/>
      <c r="BC134" s="1587">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Illustrazione delle emissioni annue di CO2</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Chilometri che si possono percorrere con una vettura di cilindrata media (7.5litri/100 km) all'anno</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Emissioni di CO2 auto di media cilindrata</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44">
        <v>0.17399999999999999</v>
      </c>
      <c r="AB144" s="1644"/>
      <c r="AC144" s="1644"/>
      <c r="AD144" s="1644"/>
      <c r="AE144" s="1644"/>
      <c r="AF144" s="1644"/>
      <c r="AG144" s="1644"/>
      <c r="AH144" s="1644"/>
      <c r="AI144" s="1644"/>
      <c r="AJ144" s="1644"/>
      <c r="AL144" s="268"/>
      <c r="AM144" s="268"/>
      <c r="AN144" s="268"/>
      <c r="AO144" s="268"/>
      <c r="AP144" s="95"/>
      <c r="AQ144" s="124"/>
      <c r="AR144" s="124"/>
      <c r="AS144" s="268"/>
      <c r="AT144" s="1644">
        <v>0.17399999999999999</v>
      </c>
      <c r="AU144" s="1644"/>
      <c r="AV144" s="1644"/>
      <c r="AW144" s="1644"/>
      <c r="AX144" s="1644"/>
      <c r="AY144" s="1644"/>
      <c r="AZ144" s="1644"/>
      <c r="BA144" s="1644"/>
      <c r="BB144" s="1644"/>
      <c r="BC144" s="164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7">
        <f>AA83/AA144</f>
        <v>0</v>
      </c>
      <c r="AB145" s="1587"/>
      <c r="AC145" s="1587"/>
      <c r="AD145" s="1587"/>
      <c r="AE145" s="1587"/>
      <c r="AF145" s="1587"/>
      <c r="AG145" s="1587"/>
      <c r="AH145" s="1587"/>
      <c r="AI145" s="1587"/>
      <c r="AJ145" s="1587">
        <v>352800</v>
      </c>
      <c r="AL145" s="268"/>
      <c r="AM145" s="268"/>
      <c r="AN145" s="268"/>
      <c r="AO145" s="268"/>
      <c r="AP145" s="95"/>
      <c r="AQ145" s="124"/>
      <c r="AR145" s="124"/>
      <c r="AS145" s="268"/>
      <c r="AT145" s="1587">
        <f>AT83/AT144</f>
        <v>0</v>
      </c>
      <c r="AU145" s="1587"/>
      <c r="AV145" s="1587"/>
      <c r="AW145" s="1587"/>
      <c r="AX145" s="1587"/>
      <c r="AY145" s="1587"/>
      <c r="AZ145" s="1587"/>
      <c r="BA145" s="1587"/>
      <c r="BB145" s="1587"/>
      <c r="BC145" s="1587">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6">
        <f>IF(LEN(AA145)&lt;3,0,IF(LEN(AA145)=3,-1,IF(LEN(AA145)=4,-2,-3)))</f>
        <v>0</v>
      </c>
      <c r="AB146" s="1586"/>
      <c r="AC146" s="1586"/>
      <c r="AD146" s="1586"/>
      <c r="AE146" s="1586"/>
      <c r="AF146" s="1586"/>
      <c r="AG146" s="1586"/>
      <c r="AH146" s="1586"/>
      <c r="AI146" s="1586"/>
      <c r="AJ146" s="1586">
        <v>-3</v>
      </c>
      <c r="AL146" s="268"/>
      <c r="AM146" s="268"/>
      <c r="AN146" s="268"/>
      <c r="AO146" s="268"/>
      <c r="AP146" s="95"/>
      <c r="AQ146" s="124"/>
      <c r="AR146" s="124"/>
      <c r="AS146" s="268"/>
      <c r="AT146" s="1586">
        <f>IF(LEN(AT145)&lt;3,0,IF(LEN(AT145)=3,-1,IF(LEN(AT145)=4,-2,-3)))</f>
        <v>0</v>
      </c>
      <c r="AU146" s="1586"/>
      <c r="AV146" s="1586"/>
      <c r="AW146" s="1586"/>
      <c r="AX146" s="1586"/>
      <c r="AY146" s="1586"/>
      <c r="AZ146" s="1586"/>
      <c r="BA146" s="1586"/>
      <c r="BB146" s="1586"/>
      <c r="BC146" s="1586">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Distanza</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7">
        <f>ROUND(AA145,AA146)</f>
        <v>0</v>
      </c>
      <c r="AB147" s="1587"/>
      <c r="AC147" s="1587"/>
      <c r="AD147" s="1587"/>
      <c r="AE147" s="1587"/>
      <c r="AF147" s="1587"/>
      <c r="AG147" s="1587"/>
      <c r="AH147" s="1587"/>
      <c r="AI147" s="1587"/>
      <c r="AJ147" s="1587">
        <v>353000</v>
      </c>
      <c r="AL147" s="268"/>
      <c r="AM147" s="268"/>
      <c r="AN147" s="268"/>
      <c r="AO147" s="268"/>
      <c r="AP147" s="95"/>
      <c r="AQ147" s="124"/>
      <c r="AR147" s="124"/>
      <c r="AS147" s="268"/>
      <c r="AT147" s="1587">
        <f>ROUND(AT145,AT146)</f>
        <v>0</v>
      </c>
      <c r="AU147" s="1587"/>
      <c r="AV147" s="1587"/>
      <c r="AW147" s="1587"/>
      <c r="AX147" s="1587"/>
      <c r="AY147" s="1587"/>
      <c r="AZ147" s="1587"/>
      <c r="BA147" s="1587"/>
      <c r="BB147" s="1587"/>
      <c r="BC147" s="1587">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Numero di camion con ...</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Contenuto CO2 camion</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7">
        <v>22000</v>
      </c>
      <c r="AB150" s="1587"/>
      <c r="AC150" s="1587"/>
      <c r="AD150" s="1587"/>
      <c r="AE150" s="1587"/>
      <c r="AF150" s="1587"/>
      <c r="AG150" s="1587"/>
      <c r="AH150" s="1587"/>
      <c r="AI150" s="1587"/>
      <c r="AJ150" s="1587">
        <v>0.15</v>
      </c>
      <c r="AL150" s="268"/>
      <c r="AM150" s="268"/>
      <c r="AN150" s="268"/>
      <c r="AO150" s="268"/>
      <c r="AP150" s="95"/>
      <c r="AQ150" s="124"/>
      <c r="AR150" s="124"/>
      <c r="AS150" s="268"/>
      <c r="AT150" s="1587">
        <v>22000</v>
      </c>
      <c r="AU150" s="1587"/>
      <c r="AV150" s="1587"/>
      <c r="AW150" s="1587"/>
      <c r="AX150" s="1587"/>
      <c r="AY150" s="1587"/>
      <c r="AZ150" s="1587"/>
      <c r="BA150" s="1587"/>
      <c r="BB150" s="1587"/>
      <c r="BC150" s="1587">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Camion</v>
      </c>
      <c r="T151" s="182"/>
      <c r="U151" s="182"/>
      <c r="V151" s="182"/>
      <c r="W151" s="182"/>
      <c r="X151" s="182"/>
      <c r="Z151" s="182"/>
      <c r="AA151" s="1643">
        <f>AA83/AA150</f>
        <v>0</v>
      </c>
      <c r="AB151" s="1643"/>
      <c r="AC151" s="1643"/>
      <c r="AD151" s="1643"/>
      <c r="AE151" s="1643"/>
      <c r="AF151" s="1643"/>
      <c r="AG151" s="1643"/>
      <c r="AH151" s="1643"/>
      <c r="AI151" s="1643"/>
      <c r="AJ151" s="1643">
        <v>352800</v>
      </c>
      <c r="AL151" s="268"/>
      <c r="AM151" s="268"/>
      <c r="AN151" s="268"/>
      <c r="AO151" s="268"/>
      <c r="AP151" s="95"/>
      <c r="AQ151" s="124"/>
      <c r="AR151" s="124"/>
      <c r="AS151" s="268"/>
      <c r="AT151" s="1643">
        <f>AT83/AT150</f>
        <v>0</v>
      </c>
      <c r="AU151" s="1643"/>
      <c r="AV151" s="1643"/>
      <c r="AW151" s="1643"/>
      <c r="AX151" s="1643"/>
      <c r="AY151" s="1643"/>
      <c r="AZ151" s="1643"/>
      <c r="BA151" s="1643"/>
      <c r="BB151" s="1643"/>
      <c r="BC151" s="164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6">
        <f>IF(AA151&lt;10,1,0)</f>
        <v>1</v>
      </c>
      <c r="AB152" s="1586"/>
      <c r="AC152" s="1586"/>
      <c r="AD152" s="1586"/>
      <c r="AE152" s="1586"/>
      <c r="AF152" s="1586"/>
      <c r="AG152" s="1586"/>
      <c r="AH152" s="1586"/>
      <c r="AI152" s="1586"/>
      <c r="AJ152" s="1586">
        <v>-3</v>
      </c>
      <c r="AL152" s="268"/>
      <c r="AM152" s="268"/>
      <c r="AN152" s="268"/>
      <c r="AO152" s="268"/>
      <c r="AP152" s="95"/>
      <c r="AQ152" s="124"/>
      <c r="AR152" s="124"/>
      <c r="AS152" s="268"/>
      <c r="AT152" s="1586">
        <f>IF(AT151&lt;10,1,0)</f>
        <v>1</v>
      </c>
      <c r="AU152" s="1586"/>
      <c r="AV152" s="1586"/>
      <c r="AW152" s="1586"/>
      <c r="AX152" s="1586"/>
      <c r="AY152" s="1586"/>
      <c r="AZ152" s="1586"/>
      <c r="BA152" s="1586"/>
      <c r="BB152" s="1586"/>
      <c r="BC152" s="1586">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Numero camion</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6">
        <f>ROUND(AA83/AA150,AA152)</f>
        <v>0</v>
      </c>
      <c r="AB153" s="1586"/>
      <c r="AC153" s="1586"/>
      <c r="AD153" s="1586"/>
      <c r="AE153" s="1586"/>
      <c r="AF153" s="1586"/>
      <c r="AG153" s="1586"/>
      <c r="AH153" s="1586"/>
      <c r="AI153" s="1586"/>
      <c r="AJ153" s="1586">
        <v>353000</v>
      </c>
      <c r="AL153" s="268"/>
      <c r="AM153" s="268"/>
      <c r="AN153" s="268"/>
      <c r="AO153" s="268"/>
      <c r="AP153" s="95"/>
      <c r="AQ153" s="124"/>
      <c r="AR153" s="124"/>
      <c r="AS153" s="268"/>
      <c r="AT153" s="1586">
        <f>ROUND(AT83/AT150,AT152)</f>
        <v>0</v>
      </c>
      <c r="AU153" s="1586"/>
      <c r="AV153" s="1586"/>
      <c r="AW153" s="1586"/>
      <c r="AX153" s="1586"/>
      <c r="AY153" s="1586"/>
      <c r="AZ153" s="1586"/>
      <c r="BA153" s="1586"/>
      <c r="BB153" s="1586"/>
      <c r="BC153" s="1586">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Spese per la compensazione della CO2 all'anno</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Tipo di compensazione del CO2</v>
      </c>
      <c r="F156" s="182"/>
      <c r="G156" s="182"/>
      <c r="H156" s="182"/>
      <c r="I156" s="182"/>
      <c r="J156" s="182"/>
      <c r="K156" s="182"/>
      <c r="L156" s="182"/>
      <c r="M156" s="182"/>
      <c r="N156" s="182"/>
      <c r="O156" s="182"/>
      <c r="P156" s="182"/>
      <c r="Q156" s="182"/>
      <c r="R156" s="182"/>
      <c r="S156" s="419"/>
      <c r="T156" s="182"/>
      <c r="U156" s="182"/>
      <c r="V156" s="182"/>
      <c r="W156" s="182"/>
      <c r="X156" s="182"/>
      <c r="Z156" s="182"/>
      <c r="AA156" s="1641" t="str">
        <f>AH270</f>
        <v>Compensazione con certificati esteri</v>
      </c>
      <c r="AB156" s="1641"/>
      <c r="AC156" s="1641"/>
      <c r="AD156" s="1641"/>
      <c r="AE156" s="1641"/>
      <c r="AF156" s="1641"/>
      <c r="AG156" s="1641"/>
      <c r="AH156" s="1641"/>
      <c r="AI156" s="1641"/>
      <c r="AJ156" s="1641">
        <v>0.15</v>
      </c>
      <c r="AL156" s="268"/>
      <c r="AM156" s="268"/>
      <c r="AN156" s="268"/>
      <c r="AO156" s="268"/>
      <c r="AP156" s="95"/>
      <c r="AQ156" s="124"/>
      <c r="AR156" s="124"/>
      <c r="AS156" s="268"/>
      <c r="AT156" s="1641" t="str">
        <f>BA270</f>
        <v>Compensazione con certificati esteri</v>
      </c>
      <c r="AU156" s="1641"/>
      <c r="AV156" s="1641"/>
      <c r="AW156" s="1641"/>
      <c r="AX156" s="1641"/>
      <c r="AY156" s="1641"/>
      <c r="AZ156" s="1641"/>
      <c r="BA156" s="1641"/>
      <c r="BB156" s="1641"/>
      <c r="BC156" s="1641">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Prezzo compensazione CO2</v>
      </c>
      <c r="F157" s="182"/>
      <c r="G157" s="182"/>
      <c r="H157" s="182"/>
      <c r="I157" s="182"/>
      <c r="J157" s="182"/>
      <c r="K157" s="182"/>
      <c r="L157" s="182"/>
      <c r="M157" s="182"/>
      <c r="N157" s="182"/>
      <c r="O157" s="182"/>
      <c r="P157" s="182"/>
      <c r="Q157" s="182"/>
      <c r="R157" s="182"/>
      <c r="S157" s="419" t="str">
        <f>X!$C$65</f>
        <v>CHF/ tonnellate CO2</v>
      </c>
      <c r="T157" s="182"/>
      <c r="U157" s="182"/>
      <c r="V157" s="182"/>
      <c r="W157" s="182"/>
      <c r="X157" s="182"/>
      <c r="Z157" s="182"/>
      <c r="AA157" s="1645">
        <f>AH274</f>
        <v>29</v>
      </c>
      <c r="AB157" s="1645"/>
      <c r="AC157" s="1645"/>
      <c r="AD157" s="1645"/>
      <c r="AE157" s="1645"/>
      <c r="AF157" s="1645"/>
      <c r="AG157" s="1645"/>
      <c r="AH157" s="1645"/>
      <c r="AI157" s="1645"/>
      <c r="AJ157" s="1645">
        <v>0.15</v>
      </c>
      <c r="AL157" s="268"/>
      <c r="AM157" s="268"/>
      <c r="AN157" s="268"/>
      <c r="AO157" s="268"/>
      <c r="AP157" s="95"/>
      <c r="AQ157" s="124"/>
      <c r="AR157" s="124"/>
      <c r="AS157" s="268"/>
      <c r="AT157" s="1645">
        <f>BA274</f>
        <v>29</v>
      </c>
      <c r="AU157" s="1645"/>
      <c r="AV157" s="1645"/>
      <c r="AW157" s="1645"/>
      <c r="AX157" s="1645"/>
      <c r="AY157" s="1645"/>
      <c r="AZ157" s="1645"/>
      <c r="BA157" s="1645"/>
      <c r="BB157" s="1645"/>
      <c r="BC157" s="1645">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7">
        <f>IF(AA83&lt;0,0,INT(AA83/1000*AA157))</f>
        <v>0</v>
      </c>
      <c r="AB158" s="1587"/>
      <c r="AC158" s="1587"/>
      <c r="AD158" s="1587"/>
      <c r="AE158" s="1587"/>
      <c r="AF158" s="1587"/>
      <c r="AG158" s="1587"/>
      <c r="AH158" s="1587"/>
      <c r="AI158" s="1587"/>
      <c r="AJ158" s="1587">
        <v>352800</v>
      </c>
      <c r="AL158" s="268"/>
      <c r="AM158" s="268"/>
      <c r="AN158" s="268"/>
      <c r="AO158" s="268"/>
      <c r="AP158" s="95"/>
      <c r="AQ158" s="124"/>
      <c r="AR158" s="124"/>
      <c r="AS158" s="268"/>
      <c r="AT158" s="1587">
        <f>IF(AT83&lt;0,0,INT(AT83/1000*AT157))</f>
        <v>0</v>
      </c>
      <c r="AU158" s="1587"/>
      <c r="AV158" s="1587"/>
      <c r="AW158" s="1587"/>
      <c r="AX158" s="1587"/>
      <c r="AY158" s="1587"/>
      <c r="AZ158" s="1587"/>
      <c r="BA158" s="1587"/>
      <c r="BB158" s="1587"/>
      <c r="BC158" s="1587">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6">
        <f>IF(LEN(AA158)&lt;3,0,IF(LEN(AA158)=3,-1,IF(LEN(AA158)=4,-2,-3)))</f>
        <v>0</v>
      </c>
      <c r="AB159" s="1586"/>
      <c r="AC159" s="1586"/>
      <c r="AD159" s="1586"/>
      <c r="AE159" s="1586"/>
      <c r="AF159" s="1586"/>
      <c r="AG159" s="1586"/>
      <c r="AH159" s="1586"/>
      <c r="AI159" s="1586"/>
      <c r="AJ159" s="1586">
        <v>-3</v>
      </c>
      <c r="AL159" s="268"/>
      <c r="AM159" s="268"/>
      <c r="AN159" s="268"/>
      <c r="AO159" s="268"/>
      <c r="AP159" s="95"/>
      <c r="AQ159" s="124"/>
      <c r="AR159" s="124"/>
      <c r="AS159" s="268"/>
      <c r="AT159" s="1586">
        <f>IF(LEN(AT158)&lt;3,0,IF(LEN(AT158)=3,-1,IF(LEN(AT158)=4,-2,-3)))</f>
        <v>0</v>
      </c>
      <c r="AU159" s="1586"/>
      <c r="AV159" s="1586"/>
      <c r="AW159" s="1586"/>
      <c r="AX159" s="1586"/>
      <c r="AY159" s="1586"/>
      <c r="AZ159" s="1586"/>
      <c r="BA159" s="1586"/>
      <c r="BB159" s="1586"/>
      <c r="BC159" s="1586">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Spese di compensazione</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46">
        <f>ROUND(AA158,AA159)</f>
        <v>0</v>
      </c>
      <c r="AB160" s="1646"/>
      <c r="AC160" s="1646"/>
      <c r="AD160" s="1646"/>
      <c r="AE160" s="1646"/>
      <c r="AF160" s="1646"/>
      <c r="AG160" s="1646"/>
      <c r="AH160" s="1646"/>
      <c r="AI160" s="1646"/>
      <c r="AJ160" s="1646">
        <v>353000</v>
      </c>
      <c r="AL160" s="268"/>
      <c r="AM160" s="268"/>
      <c r="AN160" s="268"/>
      <c r="AO160" s="268"/>
      <c r="AP160" s="95"/>
      <c r="AQ160" s="124"/>
      <c r="AR160" s="124"/>
      <c r="AS160" s="268"/>
      <c r="AT160" s="1646">
        <f>ROUND(AT158,AT159)</f>
        <v>0</v>
      </c>
      <c r="AU160" s="1646"/>
      <c r="AV160" s="1646"/>
      <c r="AW160" s="1646"/>
      <c r="AX160" s="1646"/>
      <c r="AY160" s="1646"/>
      <c r="AZ160" s="1646"/>
      <c r="BA160" s="1646"/>
      <c r="BB160" s="1646"/>
      <c r="BC160" s="1646">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93" t="str">
        <f>X!C291</f>
        <v>in alto</v>
      </c>
      <c r="AZ163" s="1493"/>
      <c r="BA163" s="1493"/>
      <c r="BB163" s="1493"/>
      <c r="BC163" s="1493"/>
      <c r="BD163" s="1493"/>
      <c r="BE163" s="1493"/>
      <c r="BF163" s="1493"/>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Supermercato</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Industria</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Industria (raffreddatori di liquidi per freddo di processo)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Commercio</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Refrigeratore-climatizzatore vaporizzazione diretta (sistemi VRV, VRF)</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Refrigeratore-climatizzatore (refrigeratori condensazione ad acqua)</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Refrigeratore-climatizzatore (refrigeratori condensazione ad aria)</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Montaggio sul posto</v>
      </c>
      <c r="W197" s="1111"/>
      <c r="X197" s="1111"/>
      <c r="Y197" s="1111"/>
      <c r="Z197" s="1111"/>
      <c r="AA197" s="1111"/>
      <c r="AB197" s="1111" t="str">
        <f>D221</f>
        <v>Pronto di fabbrica</v>
      </c>
      <c r="AC197" s="1111"/>
      <c r="AD197" s="1111"/>
      <c r="AE197" s="1111"/>
      <c r="AF197" s="1111"/>
      <c r="AG197" s="1111"/>
      <c r="AH197" s="1111" t="str">
        <f>D222</f>
        <v>Pronto di fabbrica, ermetico</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Supermercato</v>
      </c>
      <c r="E198" s="34"/>
      <c r="F198" s="34"/>
      <c r="G198" s="34"/>
      <c r="H198" s="34"/>
      <c r="I198" s="34"/>
      <c r="J198" s="34"/>
      <c r="K198" s="34"/>
      <c r="L198" s="34"/>
      <c r="M198" s="34"/>
      <c r="N198" s="34"/>
      <c r="O198" s="34"/>
      <c r="P198" s="34"/>
      <c r="Q198" s="34"/>
      <c r="R198" s="34"/>
      <c r="S198" s="34"/>
      <c r="T198" s="34"/>
      <c r="U198" s="34"/>
      <c r="V198" s="34" t="str">
        <f>V$197</f>
        <v>Montaggio sul posto</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Industria</v>
      </c>
      <c r="E199" s="66"/>
      <c r="F199" s="66"/>
      <c r="G199" s="66"/>
      <c r="H199" s="66"/>
      <c r="I199" s="66"/>
      <c r="J199" s="66"/>
      <c r="K199" s="66"/>
      <c r="L199" s="66"/>
      <c r="M199" s="66"/>
      <c r="N199" s="66"/>
      <c r="O199" s="66"/>
      <c r="P199" s="66"/>
      <c r="Q199" s="66"/>
      <c r="R199" s="66"/>
      <c r="S199" s="66"/>
      <c r="T199" s="66"/>
      <c r="U199" s="66"/>
      <c r="V199" s="34" t="str">
        <f t="shared" ref="V199:V204" si="3">V$197</f>
        <v>Montaggio sul posto</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Industria (raffreddatori di liquidi per freddo di processo) </v>
      </c>
      <c r="E200" s="34"/>
      <c r="F200" s="34"/>
      <c r="G200" s="34"/>
      <c r="H200" s="34"/>
      <c r="I200" s="34"/>
      <c r="J200" s="34"/>
      <c r="K200" s="34"/>
      <c r="L200" s="34"/>
      <c r="M200" s="34"/>
      <c r="N200" s="34"/>
      <c r="O200" s="34"/>
      <c r="P200" s="34"/>
      <c r="Q200" s="34"/>
      <c r="R200" s="34"/>
      <c r="S200" s="34"/>
      <c r="T200" s="34"/>
      <c r="U200" s="34"/>
      <c r="V200" s="34" t="str">
        <f t="shared" si="3"/>
        <v>Montaggio sul posto</v>
      </c>
      <c r="W200" s="34"/>
      <c r="X200" s="34"/>
      <c r="Y200" s="34"/>
      <c r="Z200" s="34"/>
      <c r="AA200" s="34"/>
      <c r="AB200" s="34" t="str">
        <f>AB$197</f>
        <v>Pronto di fabbrica</v>
      </c>
      <c r="AC200" s="34"/>
      <c r="AD200" s="34"/>
      <c r="AE200" s="34"/>
      <c r="AF200" s="34"/>
      <c r="AG200" s="34"/>
      <c r="AH200" s="34" t="str">
        <f>AH$197</f>
        <v>Pronto di fabbrica, ermetico</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Commercio</v>
      </c>
      <c r="E201" s="34"/>
      <c r="F201" s="34"/>
      <c r="G201" s="34"/>
      <c r="H201" s="34"/>
      <c r="I201" s="34"/>
      <c r="J201" s="34"/>
      <c r="K201" s="34"/>
      <c r="L201" s="34"/>
      <c r="M201" s="34"/>
      <c r="N201" s="34"/>
      <c r="O201" s="34"/>
      <c r="P201" s="34"/>
      <c r="Q201" s="34"/>
      <c r="R201" s="34"/>
      <c r="S201" s="34"/>
      <c r="T201" s="34"/>
      <c r="U201" s="34"/>
      <c r="V201" s="34" t="str">
        <f t="shared" si="3"/>
        <v>Montaggio sul posto</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Refrigeratore-climatizzatore vaporizzazione diretta (sistemi VRV, VRF)</v>
      </c>
      <c r="E202" s="34"/>
      <c r="F202" s="34"/>
      <c r="G202" s="34"/>
      <c r="H202" s="34"/>
      <c r="I202" s="34"/>
      <c r="J202" s="34"/>
      <c r="K202" s="34"/>
      <c r="L202" s="34"/>
      <c r="M202" s="34"/>
      <c r="N202" s="34"/>
      <c r="O202" s="34"/>
      <c r="P202" s="34"/>
      <c r="Q202" s="34"/>
      <c r="R202" s="34"/>
      <c r="S202" s="34"/>
      <c r="T202" s="34"/>
      <c r="U202" s="34"/>
      <c r="V202" s="34" t="str">
        <f t="shared" si="3"/>
        <v>Montaggio sul posto</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Refrigeratore-climatizzatore (refrigeratori condensazione ad acqua)</v>
      </c>
      <c r="E203" s="34"/>
      <c r="F203" s="34"/>
      <c r="G203" s="34"/>
      <c r="H203" s="34"/>
      <c r="I203" s="34"/>
      <c r="J203" s="34"/>
      <c r="K203" s="34"/>
      <c r="L203" s="34"/>
      <c r="M203" s="34"/>
      <c r="N203" s="34"/>
      <c r="O203" s="34"/>
      <c r="P203" s="34"/>
      <c r="Q203" s="34"/>
      <c r="R203" s="34"/>
      <c r="S203" s="34"/>
      <c r="T203" s="34"/>
      <c r="U203" s="34"/>
      <c r="V203" s="34" t="str">
        <f t="shared" si="3"/>
        <v>Montaggio sul posto</v>
      </c>
      <c r="W203" s="34"/>
      <c r="X203" s="34"/>
      <c r="Y203" s="34"/>
      <c r="Z203" s="34"/>
      <c r="AA203" s="34"/>
      <c r="AB203" s="34" t="str">
        <f>AB$197</f>
        <v>Pronto di fabbrica</v>
      </c>
      <c r="AC203" s="34"/>
      <c r="AD203" s="34"/>
      <c r="AE203" s="34"/>
      <c r="AF203" s="34"/>
      <c r="AG203" s="34"/>
      <c r="AH203" s="34" t="str">
        <f>AH$197</f>
        <v>Pronto di fabbrica, ermetico</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Refrigeratore-climatizzatore (refrigeratori condensazione ad aria)</v>
      </c>
      <c r="E204" s="34"/>
      <c r="F204" s="34"/>
      <c r="G204" s="34"/>
      <c r="H204" s="34"/>
      <c r="I204" s="34"/>
      <c r="J204" s="34"/>
      <c r="K204" s="34"/>
      <c r="L204" s="34"/>
      <c r="M204" s="34"/>
      <c r="N204" s="34"/>
      <c r="O204" s="34"/>
      <c r="P204" s="34"/>
      <c r="Q204" s="34"/>
      <c r="R204" s="34"/>
      <c r="S204" s="34"/>
      <c r="T204" s="34"/>
      <c r="U204" s="34"/>
      <c r="V204" s="34" t="str">
        <f t="shared" si="3"/>
        <v>Montaggio sul posto</v>
      </c>
      <c r="W204" s="34"/>
      <c r="X204" s="34"/>
      <c r="Y204" s="34"/>
      <c r="Z204" s="34"/>
      <c r="AA204" s="34"/>
      <c r="AB204" s="34" t="str">
        <f>AB$197</f>
        <v>Pronto di fabbrica</v>
      </c>
      <c r="AC204" s="34"/>
      <c r="AD204" s="34"/>
      <c r="AE204" s="34"/>
      <c r="AF204" s="34"/>
      <c r="AG204" s="34"/>
      <c r="AH204" s="34" t="str">
        <f>AH$197</f>
        <v>Pronto di fabbrica, ermetico</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Montaggio sul posto</v>
      </c>
      <c r="W208" s="1111"/>
      <c r="X208" s="1111"/>
      <c r="Y208" s="1111"/>
      <c r="Z208" s="1111"/>
      <c r="AA208" s="1111"/>
      <c r="AB208" s="1111" t="str">
        <f>AB197</f>
        <v>Pronto di fabbrica</v>
      </c>
      <c r="AC208" s="1111"/>
      <c r="AD208" s="1111"/>
      <c r="AE208" s="1111"/>
      <c r="AF208" s="1111"/>
      <c r="AG208" s="1111"/>
      <c r="AH208" s="1111" t="str">
        <f>AH197</f>
        <v>Pronto di fabbrica, ermetico</v>
      </c>
      <c r="AI208" s="1111"/>
      <c r="AJ208" s="1111"/>
      <c r="AK208" s="1111"/>
      <c r="AL208" s="1111"/>
      <c r="AM208" s="1111"/>
      <c r="AN208" s="1111"/>
      <c r="AQ208" s="63" t="str">
        <f>V208</f>
        <v>Montaggio sul posto</v>
      </c>
      <c r="AR208" s="63"/>
      <c r="AS208" s="63"/>
      <c r="AT208" s="63"/>
      <c r="AU208" s="63"/>
      <c r="AV208" s="63"/>
      <c r="AW208" s="63" t="str">
        <f>AB208</f>
        <v>Pronto di fabbrica</v>
      </c>
      <c r="AX208" s="63"/>
      <c r="AY208" s="63"/>
      <c r="AZ208" s="63"/>
      <c r="BA208" s="63"/>
      <c r="BB208" s="63"/>
      <c r="BC208" s="63" t="str">
        <f>AH208</f>
        <v>Pronto di fabbrica, ermetico</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Supermercato</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Industria</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Industria (raffreddatori di liquidi per freddo di processo)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Commercio</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Refrigeratore-climatizzatore vaporizzazione diretta (sistemi VRV, VRF)</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Refrigeratore-climatizzatore (refrigeratori condensazione ad acqua)</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Refrigeratore-climatizzatore (refrigeratori condensazione ad aria)</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Montaggio sul posto</v>
      </c>
      <c r="E220" s="34"/>
      <c r="F220" s="34"/>
      <c r="G220" s="34"/>
      <c r="H220" s="34"/>
      <c r="I220" s="34"/>
      <c r="J220" s="34"/>
      <c r="K220" s="34"/>
      <c r="L220" s="34"/>
      <c r="M220" s="34"/>
      <c r="N220" s="34"/>
      <c r="O220" s="34"/>
      <c r="P220" s="34"/>
      <c r="Q220" s="34"/>
      <c r="R220" s="34"/>
      <c r="S220" s="34"/>
      <c r="T220" s="34"/>
      <c r="U220" s="34"/>
      <c r="V220" s="34"/>
      <c r="W220" s="34"/>
      <c r="X220" s="34"/>
      <c r="Y220" s="34"/>
      <c r="Z220" s="34"/>
      <c r="AA220" s="1642" t="str">
        <f>V216</f>
        <v/>
      </c>
      <c r="AB220" s="1642"/>
      <c r="AC220" s="1642"/>
      <c r="AD220" s="1642"/>
      <c r="AE220" s="1642"/>
      <c r="AF220" s="1642"/>
      <c r="AG220" s="1642"/>
      <c r="AH220" s="1642"/>
      <c r="AI220" s="1642"/>
      <c r="AJ220" s="1642"/>
      <c r="AK220" s="27"/>
      <c r="AL220" s="268"/>
      <c r="AM220" s="268"/>
      <c r="AN220" s="268"/>
      <c r="AO220" s="268"/>
      <c r="AP220" s="95"/>
      <c r="AQ220" s="124"/>
      <c r="AR220" s="124"/>
      <c r="AS220" s="268"/>
      <c r="AT220" s="1642" t="str">
        <f>AQ216</f>
        <v/>
      </c>
      <c r="AU220" s="1642"/>
      <c r="AV220" s="1642"/>
      <c r="AW220" s="1642"/>
      <c r="AX220" s="1642"/>
      <c r="AY220" s="1642"/>
      <c r="AZ220" s="1642"/>
      <c r="BA220" s="1642"/>
      <c r="BB220" s="1642"/>
      <c r="BC220" s="1642"/>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Pronto di fabbrica</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642" t="str">
        <f>AB216</f>
        <v/>
      </c>
      <c r="AB221" s="1642"/>
      <c r="AC221" s="1642"/>
      <c r="AD221" s="1642"/>
      <c r="AE221" s="1642"/>
      <c r="AF221" s="1642"/>
      <c r="AG221" s="1642"/>
      <c r="AH221" s="1642"/>
      <c r="AI221" s="1642"/>
      <c r="AJ221" s="1642"/>
      <c r="AK221" s="27"/>
      <c r="AL221" s="268"/>
      <c r="AM221" s="268"/>
      <c r="AN221" s="268"/>
      <c r="AO221" s="268"/>
      <c r="AP221" s="95"/>
      <c r="AQ221" s="124"/>
      <c r="AR221" s="124"/>
      <c r="AS221" s="268"/>
      <c r="AT221" s="1642" t="str">
        <f>AW216</f>
        <v/>
      </c>
      <c r="AU221" s="1642"/>
      <c r="AV221" s="1642"/>
      <c r="AW221" s="1642"/>
      <c r="AX221" s="1642"/>
      <c r="AY221" s="1642"/>
      <c r="AZ221" s="1642"/>
      <c r="BA221" s="1642"/>
      <c r="BB221" s="1642"/>
      <c r="BC221" s="1642"/>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Pronto di fabbrica, ermetico</v>
      </c>
      <c r="E222" s="34"/>
      <c r="F222" s="34"/>
      <c r="G222" s="34"/>
      <c r="H222" s="34"/>
      <c r="I222" s="34"/>
      <c r="J222" s="34"/>
      <c r="K222" s="34"/>
      <c r="L222" s="34"/>
      <c r="M222" s="34"/>
      <c r="N222" s="34"/>
      <c r="O222" s="34"/>
      <c r="P222" s="34"/>
      <c r="Q222" s="34"/>
      <c r="R222" s="34"/>
      <c r="S222" s="34"/>
      <c r="T222" s="34"/>
      <c r="U222" s="34"/>
      <c r="V222" s="34"/>
      <c r="W222" s="34"/>
      <c r="X222" s="34"/>
      <c r="Y222" s="34"/>
      <c r="Z222" s="34"/>
      <c r="AA222" s="1642" t="str">
        <f>AH216</f>
        <v/>
      </c>
      <c r="AB222" s="1642"/>
      <c r="AC222" s="1642"/>
      <c r="AD222" s="1642"/>
      <c r="AE222" s="1642"/>
      <c r="AF222" s="1642"/>
      <c r="AG222" s="1642"/>
      <c r="AH222" s="1642"/>
      <c r="AI222" s="1642"/>
      <c r="AJ222" s="1642"/>
      <c r="AK222" s="27"/>
      <c r="AL222" s="268"/>
      <c r="AM222" s="268"/>
      <c r="AN222" s="268"/>
      <c r="AO222" s="268"/>
      <c r="AP222" s="95"/>
      <c r="AQ222" s="124"/>
      <c r="AR222" s="124"/>
      <c r="AS222" s="268"/>
      <c r="AT222" s="1642" t="str">
        <f>BC216</f>
        <v/>
      </c>
      <c r="AU222" s="1642"/>
      <c r="AV222" s="1642"/>
      <c r="AW222" s="1642"/>
      <c r="AX222" s="1642"/>
      <c r="AY222" s="1642"/>
      <c r="AZ222" s="1642"/>
      <c r="BA222" s="1642"/>
      <c r="BB222" s="1642"/>
      <c r="BC222" s="1642"/>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6" t="str">
        <f>IF(Z$45=$D$195,$D223,"-")</f>
        <v>-</v>
      </c>
      <c r="AB223" s="1586"/>
      <c r="AC223" s="1586"/>
      <c r="AD223" s="1586"/>
      <c r="AE223" s="1586"/>
      <c r="AF223" s="1586"/>
      <c r="AG223" s="1586"/>
      <c r="AH223" s="1586"/>
      <c r="AI223" s="1586"/>
      <c r="AJ223" s="1586"/>
      <c r="AK223" s="27"/>
      <c r="AL223" s="268"/>
      <c r="AM223" s="268"/>
      <c r="AN223" s="268"/>
      <c r="AO223" s="268"/>
      <c r="AP223" s="95"/>
      <c r="AQ223" s="124"/>
      <c r="AR223" s="124"/>
      <c r="AS223" s="268"/>
      <c r="AT223" s="1586" t="str">
        <f>IF(AS$45=$D$195,$D223,"-")</f>
        <v>-</v>
      </c>
      <c r="AU223" s="1586"/>
      <c r="AV223" s="1586"/>
      <c r="AW223" s="1586"/>
      <c r="AX223" s="1586"/>
      <c r="AY223" s="1586"/>
      <c r="AZ223" s="1586"/>
      <c r="BA223" s="1586"/>
      <c r="BB223" s="1586"/>
      <c r="BC223" s="1586"/>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592">
        <f>Z33</f>
        <v>0</v>
      </c>
      <c r="AI226" s="1592"/>
      <c r="AJ226" s="1592"/>
      <c r="AK226" s="1592"/>
      <c r="AL226" s="1592"/>
      <c r="AM226" s="289"/>
      <c r="AN226" s="63"/>
      <c r="AQ226" s="63"/>
      <c r="AR226" s="63"/>
      <c r="AS226" s="63"/>
      <c r="AT226" s="63"/>
      <c r="AU226" s="63"/>
      <c r="AV226" s="63"/>
      <c r="AW226" s="63"/>
      <c r="AX226" s="63"/>
      <c r="AY226" s="288"/>
      <c r="BA226" s="1592">
        <f>AS33</f>
        <v>0</v>
      </c>
      <c r="BB226" s="1592"/>
      <c r="BC226" s="1592"/>
      <c r="BD226" s="1592"/>
      <c r="BE226" s="1592"/>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10" t="str">
        <f>X!$C$410</f>
        <v>Ammissibile con limitazioni</v>
      </c>
      <c r="M227" s="1210"/>
      <c r="N227" s="1210"/>
      <c r="O227" s="1210"/>
      <c r="P227" s="1210"/>
      <c r="Q227" s="66"/>
      <c r="R227" s="66"/>
      <c r="S227" s="66" t="str">
        <f>X!$C$406</f>
        <v>(vedi ORRPChim)</v>
      </c>
      <c r="T227" s="66"/>
      <c r="U227" s="66"/>
      <c r="V227" s="66"/>
      <c r="W227" s="66"/>
      <c r="X227" s="66"/>
      <c r="Y227" s="66"/>
      <c r="Z227" s="66"/>
      <c r="AA227" s="66"/>
      <c r="AB227" s="1591">
        <v>14800</v>
      </c>
      <c r="AC227" s="1591"/>
      <c r="AD227" s="1591"/>
      <c r="AE227" s="1591"/>
      <c r="AF227" s="1591"/>
      <c r="AH227" s="1590">
        <f>IF(AH$226=D227,AB227,0)</f>
        <v>0</v>
      </c>
      <c r="AI227" s="1590"/>
      <c r="AJ227" s="1590"/>
      <c r="AK227" s="1590"/>
      <c r="AL227" s="1590"/>
      <c r="AM227" s="66" t="str">
        <f>IF(AH$226=D227,L227,"")</f>
        <v/>
      </c>
      <c r="AN227" s="66" t="str">
        <f>IF(AH$226=D227,S227,"")</f>
        <v/>
      </c>
      <c r="AO227" t="s">
        <v>957</v>
      </c>
      <c r="AQ227" s="66"/>
      <c r="AR227" s="66"/>
      <c r="AS227" s="66"/>
      <c r="AT227" s="66"/>
      <c r="AU227" s="1590"/>
      <c r="AV227" s="1590"/>
      <c r="AW227" s="1590"/>
      <c r="AX227" s="1590"/>
      <c r="AY227" s="1590"/>
      <c r="BA227" s="1590">
        <f t="shared" ref="BA227:BA254" si="11">IF(D227=BA$226,AB227,0)</f>
        <v>0</v>
      </c>
      <c r="BB227" s="1590"/>
      <c r="BC227" s="1590"/>
      <c r="BD227" s="1590"/>
      <c r="BE227" s="1590">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10" t="str">
        <f>X!$C$410</f>
        <v>Ammissibile con limitazioni</v>
      </c>
      <c r="M228" s="1210"/>
      <c r="N228" s="1210"/>
      <c r="O228" s="1210"/>
      <c r="P228" s="1210"/>
      <c r="Q228" s="66"/>
      <c r="R228" s="66"/>
      <c r="S228" s="66" t="str">
        <f>X!$C$406</f>
        <v>(vedi ORRPChim)</v>
      </c>
      <c r="T228" s="66"/>
      <c r="U228" s="66"/>
      <c r="V228" s="66"/>
      <c r="W228" s="66"/>
      <c r="X228" s="66"/>
      <c r="Y228" s="66"/>
      <c r="Z228" s="66"/>
      <c r="AA228" s="66"/>
      <c r="AB228" s="1591">
        <v>675</v>
      </c>
      <c r="AC228" s="1591"/>
      <c r="AD228" s="1591"/>
      <c r="AE228" s="1591"/>
      <c r="AF228" s="1591"/>
      <c r="AH228" s="1590">
        <f t="shared" ref="AH228" si="12">IF(AH$226=D228,AB228,0)</f>
        <v>0</v>
      </c>
      <c r="AI228" s="1590"/>
      <c r="AJ228" s="1590"/>
      <c r="AK228" s="1590"/>
      <c r="AL228" s="1590"/>
      <c r="AM228" s="66" t="str">
        <f t="shared" ref="AM228:AM254" si="13">IF(AH$226=D228,L228,"")</f>
        <v/>
      </c>
      <c r="AN228" s="66" t="str">
        <f t="shared" ref="AN228:AN254" si="14">IF(AH$226=D228,S228,"")</f>
        <v/>
      </c>
      <c r="AO228" t="s">
        <v>957</v>
      </c>
      <c r="AQ228" s="66"/>
      <c r="AR228" s="66"/>
      <c r="AS228" s="66"/>
      <c r="AT228" s="66"/>
      <c r="AU228" s="1590"/>
      <c r="AV228" s="1590"/>
      <c r="AW228" s="1590"/>
      <c r="AX228" s="1590"/>
      <c r="AY228" s="1590"/>
      <c r="BA228" s="1590">
        <f t="shared" ref="BA228" si="15">IF(D228=BA$226,AB228,0)</f>
        <v>0</v>
      </c>
      <c r="BB228" s="1590"/>
      <c r="BC228" s="1590"/>
      <c r="BD228" s="1590"/>
      <c r="BE228" s="1590">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10" t="str">
        <f>X!$C$410</f>
        <v>Ammissibile con limitazioni</v>
      </c>
      <c r="M229" s="1210"/>
      <c r="N229" s="1210"/>
      <c r="O229" s="1210"/>
      <c r="P229" s="1210"/>
      <c r="Q229" s="66"/>
      <c r="R229" s="66"/>
      <c r="S229" s="66" t="str">
        <f>X!$C$406</f>
        <v>(vedi ORRPChim)</v>
      </c>
      <c r="T229" s="66"/>
      <c r="U229" s="66"/>
      <c r="V229" s="66"/>
      <c r="W229" s="66"/>
      <c r="X229" s="66"/>
      <c r="Y229" s="66"/>
      <c r="Z229" s="66"/>
      <c r="AA229" s="66"/>
      <c r="AB229" s="1591">
        <v>1430</v>
      </c>
      <c r="AC229" s="1591"/>
      <c r="AD229" s="1591"/>
      <c r="AE229" s="1591"/>
      <c r="AF229" s="1591"/>
      <c r="AH229" s="1590">
        <f t="shared" ref="AH229:AH241" si="18">IF(AH$226=D229,AB229,0)</f>
        <v>0</v>
      </c>
      <c r="AI229" s="1590"/>
      <c r="AJ229" s="1590"/>
      <c r="AK229" s="1590"/>
      <c r="AL229" s="1590"/>
      <c r="AM229" s="66" t="str">
        <f t="shared" si="13"/>
        <v/>
      </c>
      <c r="AN229" s="66" t="str">
        <f t="shared" si="14"/>
        <v/>
      </c>
      <c r="AO229" t="s">
        <v>957</v>
      </c>
      <c r="AQ229" s="66"/>
      <c r="AR229" s="66"/>
      <c r="AS229" s="66"/>
      <c r="AT229" s="66"/>
      <c r="AU229" s="1590"/>
      <c r="AV229" s="1590"/>
      <c r="AW229" s="1590"/>
      <c r="AX229" s="1590"/>
      <c r="AY229" s="1590"/>
      <c r="BA229" s="1590">
        <f t="shared" si="11"/>
        <v>0</v>
      </c>
      <c r="BB229" s="1590"/>
      <c r="BC229" s="1590"/>
      <c r="BD229" s="1590"/>
      <c r="BE229" s="1590">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10" t="str">
        <f>X!$C$411</f>
        <v>ammissibile</v>
      </c>
      <c r="M230" s="1210"/>
      <c r="N230" s="1210"/>
      <c r="O230" s="1210"/>
      <c r="P230" s="1210"/>
      <c r="Q230" s="66"/>
      <c r="R230" s="66"/>
      <c r="S230" s="1100">
        <v>0</v>
      </c>
      <c r="T230" s="66"/>
      <c r="U230" s="66"/>
      <c r="V230" s="66"/>
      <c r="W230" s="66"/>
      <c r="X230" s="66"/>
      <c r="Y230" s="66"/>
      <c r="Z230" s="66"/>
      <c r="AA230" s="66"/>
      <c r="AB230" s="1590">
        <v>3</v>
      </c>
      <c r="AC230" s="1590"/>
      <c r="AD230" s="1590"/>
      <c r="AE230" s="1590"/>
      <c r="AF230" s="1590"/>
      <c r="AH230" s="1590">
        <f t="shared" si="18"/>
        <v>0</v>
      </c>
      <c r="AI230" s="1590"/>
      <c r="AJ230" s="1590"/>
      <c r="AK230" s="1590"/>
      <c r="AL230" s="1590"/>
      <c r="AM230" s="66" t="str">
        <f t="shared" si="13"/>
        <v/>
      </c>
      <c r="AN230" s="66" t="str">
        <f t="shared" si="14"/>
        <v/>
      </c>
      <c r="AO230" t="s">
        <v>957</v>
      </c>
      <c r="AQ230" s="66"/>
      <c r="AR230" s="66"/>
      <c r="AS230" s="66"/>
      <c r="AT230" s="66"/>
      <c r="AU230" s="1590"/>
      <c r="AV230" s="1590"/>
      <c r="AW230" s="1590"/>
      <c r="AX230" s="1590"/>
      <c r="AY230" s="1590"/>
      <c r="BA230" s="1590">
        <f>IF(D230=BA$226,AB230,0)</f>
        <v>0</v>
      </c>
      <c r="BB230" s="1590"/>
      <c r="BC230" s="1590"/>
      <c r="BD230" s="1590"/>
      <c r="BE230" s="1590">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10" t="str">
        <f>X!$C$410</f>
        <v>Ammissibile con limitazioni</v>
      </c>
      <c r="M231" s="1210"/>
      <c r="N231" s="1210"/>
      <c r="O231" s="1210"/>
      <c r="P231" s="1210"/>
      <c r="Q231" s="66"/>
      <c r="R231" s="66"/>
      <c r="S231" s="66" t="str">
        <f>X!$C$406</f>
        <v>(vedi ORRPChim)</v>
      </c>
      <c r="T231" s="66"/>
      <c r="U231" s="66"/>
      <c r="V231" s="66"/>
      <c r="W231" s="66"/>
      <c r="X231" s="66"/>
      <c r="Y231" s="66"/>
      <c r="Z231" s="66"/>
      <c r="AA231" s="66"/>
      <c r="AB231" s="1588">
        <v>3922</v>
      </c>
      <c r="AC231" s="1588"/>
      <c r="AD231" s="1588"/>
      <c r="AE231" s="1588"/>
      <c r="AF231" s="1588"/>
      <c r="AH231" s="1590">
        <f t="shared" si="18"/>
        <v>0</v>
      </c>
      <c r="AI231" s="1590"/>
      <c r="AJ231" s="1590"/>
      <c r="AK231" s="1590"/>
      <c r="AL231" s="1590"/>
      <c r="AM231" s="66" t="str">
        <f t="shared" si="13"/>
        <v/>
      </c>
      <c r="AN231" s="66" t="str">
        <f t="shared" si="14"/>
        <v/>
      </c>
      <c r="AO231" t="s">
        <v>957</v>
      </c>
      <c r="AQ231" s="66"/>
      <c r="AR231" s="66"/>
      <c r="AS231" s="66"/>
      <c r="AT231" s="66"/>
      <c r="AU231" s="1590"/>
      <c r="AV231" s="1590"/>
      <c r="AW231" s="1590"/>
      <c r="AX231" s="1590"/>
      <c r="AY231" s="1590"/>
      <c r="BA231" s="1590">
        <f t="shared" si="11"/>
        <v>0</v>
      </c>
      <c r="BB231" s="1590"/>
      <c r="BC231" s="1590"/>
      <c r="BD231" s="1590"/>
      <c r="BE231" s="1590">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10" t="str">
        <f>X!$C$410</f>
        <v>Ammissibile con limitazioni</v>
      </c>
      <c r="M232" s="1210"/>
      <c r="N232" s="1210"/>
      <c r="O232" s="1210"/>
      <c r="P232" s="1210"/>
      <c r="Q232" s="66"/>
      <c r="R232" s="66"/>
      <c r="S232" s="66" t="str">
        <f>X!$C$406</f>
        <v>(vedi ORRPChim)</v>
      </c>
      <c r="T232" s="66"/>
      <c r="U232" s="66"/>
      <c r="V232" s="66"/>
      <c r="W232" s="66"/>
      <c r="X232" s="66"/>
      <c r="Y232" s="66"/>
      <c r="Z232" s="66"/>
      <c r="AA232" s="66"/>
      <c r="AB232" s="1588">
        <v>1774</v>
      </c>
      <c r="AC232" s="1588"/>
      <c r="AD232" s="1588"/>
      <c r="AE232" s="1588"/>
      <c r="AF232" s="1588"/>
      <c r="AH232" s="1590">
        <f t="shared" si="18"/>
        <v>0</v>
      </c>
      <c r="AI232" s="1590"/>
      <c r="AJ232" s="1590"/>
      <c r="AK232" s="1590"/>
      <c r="AL232" s="1590"/>
      <c r="AM232" s="66" t="str">
        <f t="shared" si="13"/>
        <v/>
      </c>
      <c r="AN232" s="66" t="str">
        <f t="shared" si="14"/>
        <v/>
      </c>
      <c r="AO232" t="s">
        <v>957</v>
      </c>
      <c r="AQ232" s="66"/>
      <c r="AR232" s="66"/>
      <c r="AS232" s="66"/>
      <c r="AT232" s="66"/>
      <c r="AU232" s="1590"/>
      <c r="AV232" s="1590"/>
      <c r="AW232" s="1590"/>
      <c r="AX232" s="1590"/>
      <c r="AY232" s="1590"/>
      <c r="BA232" s="1590">
        <f t="shared" si="11"/>
        <v>0</v>
      </c>
      <c r="BB232" s="1590"/>
      <c r="BC232" s="1590"/>
      <c r="BD232" s="1590"/>
      <c r="BE232" s="1590">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10" t="str">
        <f>X!$C$410</f>
        <v>Ammissibile con limitazioni</v>
      </c>
      <c r="M233" s="1210"/>
      <c r="N233" s="1210"/>
      <c r="O233" s="1210"/>
      <c r="P233" s="1210"/>
      <c r="Q233" s="66"/>
      <c r="R233" s="66"/>
      <c r="S233" s="66" t="str">
        <f>X!$C$406</f>
        <v>(vedi ORRPChim)</v>
      </c>
      <c r="T233" s="66"/>
      <c r="U233" s="66"/>
      <c r="V233" s="66"/>
      <c r="W233" s="66"/>
      <c r="X233" s="66"/>
      <c r="Y233" s="66"/>
      <c r="Z233" s="66"/>
      <c r="AA233" s="66"/>
      <c r="AB233" s="1590">
        <v>1825</v>
      </c>
      <c r="AC233" s="1590"/>
      <c r="AD233" s="1590"/>
      <c r="AE233" s="1590"/>
      <c r="AF233" s="1590"/>
      <c r="AH233" s="1590">
        <f t="shared" si="18"/>
        <v>0</v>
      </c>
      <c r="AI233" s="1590"/>
      <c r="AJ233" s="1590"/>
      <c r="AK233" s="1590"/>
      <c r="AL233" s="1590"/>
      <c r="AM233" s="66" t="str">
        <f t="shared" si="13"/>
        <v/>
      </c>
      <c r="AN233" s="66" t="str">
        <f t="shared" si="14"/>
        <v/>
      </c>
      <c r="AO233" t="s">
        <v>957</v>
      </c>
      <c r="AQ233" s="66"/>
      <c r="AR233" s="66"/>
      <c r="AS233" s="66"/>
      <c r="AT233" s="66"/>
      <c r="AU233" s="1590"/>
      <c r="AV233" s="1590"/>
      <c r="AW233" s="1590"/>
      <c r="AX233" s="1590"/>
      <c r="AY233" s="1590"/>
      <c r="BA233" s="1590">
        <f t="shared" si="11"/>
        <v>0</v>
      </c>
      <c r="BB233" s="1590"/>
      <c r="BC233" s="1590"/>
      <c r="BD233" s="1590"/>
      <c r="BE233" s="1590">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10" t="str">
        <f>X!$C$410</f>
        <v>Ammissibile con limitazioni</v>
      </c>
      <c r="M234" s="1210"/>
      <c r="N234" s="1210"/>
      <c r="O234" s="1210"/>
      <c r="P234" s="1210"/>
      <c r="Q234" s="66"/>
      <c r="R234" s="66"/>
      <c r="S234" s="66" t="str">
        <f>X!$C$406</f>
        <v>(vedi ORRPChim)</v>
      </c>
      <c r="T234" s="66"/>
      <c r="U234" s="66"/>
      <c r="V234" s="66"/>
      <c r="W234" s="66"/>
      <c r="X234" s="66"/>
      <c r="Y234" s="66"/>
      <c r="Z234" s="66"/>
      <c r="AA234" s="66"/>
      <c r="AB234" s="1588">
        <v>2088</v>
      </c>
      <c r="AC234" s="1588"/>
      <c r="AD234" s="1588"/>
      <c r="AE234" s="1588"/>
      <c r="AF234" s="1588"/>
      <c r="AH234" s="1590">
        <f t="shared" si="18"/>
        <v>0</v>
      </c>
      <c r="AI234" s="1590"/>
      <c r="AJ234" s="1590"/>
      <c r="AK234" s="1590"/>
      <c r="AL234" s="1590"/>
      <c r="AM234" s="66" t="str">
        <f t="shared" si="13"/>
        <v/>
      </c>
      <c r="AN234" s="66" t="str">
        <f t="shared" si="14"/>
        <v/>
      </c>
      <c r="AO234" t="s">
        <v>957</v>
      </c>
      <c r="AQ234" s="66"/>
      <c r="AR234" s="66"/>
      <c r="AS234" s="66"/>
      <c r="AT234" s="66"/>
      <c r="AU234" s="1590"/>
      <c r="AV234" s="1590"/>
      <c r="AW234" s="1590"/>
      <c r="AX234" s="1590"/>
      <c r="AY234" s="1590"/>
      <c r="BA234" s="1590">
        <f t="shared" si="11"/>
        <v>0</v>
      </c>
      <c r="BB234" s="1590"/>
      <c r="BC234" s="1590"/>
      <c r="BD234" s="1590"/>
      <c r="BE234" s="1590">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10" t="str">
        <f>X!$C$410</f>
        <v>Ammissibile con limitazioni</v>
      </c>
      <c r="M235" s="1210"/>
      <c r="N235" s="1210"/>
      <c r="O235" s="1210"/>
      <c r="P235" s="1210"/>
      <c r="Q235" s="66"/>
      <c r="R235" s="66"/>
      <c r="S235" s="66" t="str">
        <f>X!$C$406</f>
        <v>(vedi ORRPChim)</v>
      </c>
      <c r="T235" s="66"/>
      <c r="U235" s="66"/>
      <c r="V235" s="66"/>
      <c r="W235" s="66"/>
      <c r="X235" s="66"/>
      <c r="Y235" s="66"/>
      <c r="Z235" s="66"/>
      <c r="AA235" s="66"/>
      <c r="AB235" s="1588">
        <v>2346</v>
      </c>
      <c r="AC235" s="1588"/>
      <c r="AD235" s="1588"/>
      <c r="AE235" s="1588"/>
      <c r="AF235" s="1588"/>
      <c r="AH235" s="1590">
        <f t="shared" si="18"/>
        <v>0</v>
      </c>
      <c r="AI235" s="1590"/>
      <c r="AJ235" s="1590"/>
      <c r="AK235" s="1590"/>
      <c r="AL235" s="1590"/>
      <c r="AM235" s="66" t="str">
        <f t="shared" si="13"/>
        <v/>
      </c>
      <c r="AN235" s="66" t="str">
        <f t="shared" si="14"/>
        <v/>
      </c>
      <c r="AO235" t="s">
        <v>957</v>
      </c>
      <c r="AQ235" s="66"/>
      <c r="AR235" s="66"/>
      <c r="AS235" s="66"/>
      <c r="AT235" s="66"/>
      <c r="AU235" s="1590"/>
      <c r="AV235" s="1590"/>
      <c r="AW235" s="1590"/>
      <c r="AX235" s="1590"/>
      <c r="AY235" s="1590"/>
      <c r="BA235" s="1590">
        <f t="shared" si="11"/>
        <v>0</v>
      </c>
      <c r="BB235" s="1590"/>
      <c r="BC235" s="1590"/>
      <c r="BD235" s="1590"/>
      <c r="BE235" s="1590">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10" t="str">
        <f>X!$C$410</f>
        <v>Ammissibile con limitazioni</v>
      </c>
      <c r="M236" s="1210"/>
      <c r="N236" s="1210"/>
      <c r="O236" s="1210"/>
      <c r="P236" s="1210"/>
      <c r="Q236" s="66"/>
      <c r="R236" s="66"/>
      <c r="S236" s="66" t="str">
        <f>X!$C$406</f>
        <v>(vedi ORRPChim)</v>
      </c>
      <c r="T236" s="66"/>
      <c r="U236" s="66"/>
      <c r="V236" s="66"/>
      <c r="W236" s="66"/>
      <c r="X236" s="66"/>
      <c r="Y236" s="66"/>
      <c r="Z236" s="66"/>
      <c r="AA236" s="66"/>
      <c r="AB236" s="1588">
        <v>3143</v>
      </c>
      <c r="AC236" s="1588"/>
      <c r="AD236" s="1588"/>
      <c r="AE236" s="1588"/>
      <c r="AF236" s="1588"/>
      <c r="AH236" s="1590">
        <f t="shared" si="18"/>
        <v>0</v>
      </c>
      <c r="AI236" s="1590"/>
      <c r="AJ236" s="1590"/>
      <c r="AK236" s="1590"/>
      <c r="AL236" s="1590"/>
      <c r="AM236" s="66" t="str">
        <f t="shared" si="13"/>
        <v/>
      </c>
      <c r="AN236" s="66" t="str">
        <f t="shared" si="14"/>
        <v/>
      </c>
      <c r="AO236" t="s">
        <v>957</v>
      </c>
      <c r="AQ236" s="66"/>
      <c r="AR236" s="66"/>
      <c r="AS236" s="66"/>
      <c r="AT236" s="66"/>
      <c r="AU236" s="1590"/>
      <c r="AV236" s="1590"/>
      <c r="AW236" s="1590"/>
      <c r="AX236" s="1590"/>
      <c r="AY236" s="1590"/>
      <c r="BA236" s="1590">
        <f t="shared" si="11"/>
        <v>0</v>
      </c>
      <c r="BB236" s="1590"/>
      <c r="BC236" s="1590"/>
      <c r="BD236" s="1590"/>
      <c r="BE236" s="1590">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10" t="str">
        <f>X!$C$410</f>
        <v>Ammissibile con limitazioni</v>
      </c>
      <c r="M237" s="1210"/>
      <c r="N237" s="1210"/>
      <c r="O237" s="1210"/>
      <c r="P237" s="1210"/>
      <c r="Q237" s="66"/>
      <c r="R237" s="66"/>
      <c r="S237" s="66" t="str">
        <f>X!$C$406</f>
        <v>(vedi ORRPChim)</v>
      </c>
      <c r="T237" s="66"/>
      <c r="U237" s="66"/>
      <c r="V237" s="66"/>
      <c r="W237" s="66"/>
      <c r="X237" s="66"/>
      <c r="Y237" s="66"/>
      <c r="Z237" s="66"/>
      <c r="AA237" s="66"/>
      <c r="AB237" s="1588">
        <v>2729</v>
      </c>
      <c r="AC237" s="1588"/>
      <c r="AD237" s="1588"/>
      <c r="AE237" s="1588"/>
      <c r="AF237" s="1588"/>
      <c r="AH237" s="1590">
        <f t="shared" si="18"/>
        <v>0</v>
      </c>
      <c r="AI237" s="1590"/>
      <c r="AJ237" s="1590"/>
      <c r="AK237" s="1590"/>
      <c r="AL237" s="1590"/>
      <c r="AM237" s="66" t="str">
        <f t="shared" si="13"/>
        <v/>
      </c>
      <c r="AN237" s="66" t="str">
        <f t="shared" si="14"/>
        <v/>
      </c>
      <c r="AO237" t="s">
        <v>957</v>
      </c>
      <c r="AQ237" s="66"/>
      <c r="AR237" s="66"/>
      <c r="AS237" s="66"/>
      <c r="AT237" s="66"/>
      <c r="AU237" s="1590"/>
      <c r="AV237" s="1590"/>
      <c r="AW237" s="1590"/>
      <c r="AX237" s="1590"/>
      <c r="AY237" s="1590"/>
      <c r="BA237" s="1590">
        <f t="shared" si="11"/>
        <v>0</v>
      </c>
      <c r="BB237" s="1590"/>
      <c r="BC237" s="1590"/>
      <c r="BD237" s="1590"/>
      <c r="BE237" s="1590">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10" t="str">
        <f>X!$C$410</f>
        <v>Ammissibile con limitazioni</v>
      </c>
      <c r="M238" s="1210"/>
      <c r="N238" s="1210"/>
      <c r="O238" s="1210"/>
      <c r="P238" s="1210"/>
      <c r="Q238" s="66"/>
      <c r="R238" s="66"/>
      <c r="S238" s="66" t="str">
        <f>X!$C$406</f>
        <v>(vedi ORRPChim)</v>
      </c>
      <c r="T238" s="66"/>
      <c r="U238" s="66"/>
      <c r="V238" s="66"/>
      <c r="W238" s="66"/>
      <c r="X238" s="66"/>
      <c r="Y238" s="66"/>
      <c r="Z238" s="66"/>
      <c r="AA238" s="66"/>
      <c r="AB238" s="1589">
        <v>1805</v>
      </c>
      <c r="AC238" s="1589"/>
      <c r="AD238" s="1589"/>
      <c r="AE238" s="1589"/>
      <c r="AF238" s="1589"/>
      <c r="AH238" s="1590">
        <f t="shared" si="18"/>
        <v>0</v>
      </c>
      <c r="AI238" s="1590"/>
      <c r="AJ238" s="1590"/>
      <c r="AK238" s="1590"/>
      <c r="AL238" s="1590"/>
      <c r="AM238" s="66" t="str">
        <f t="shared" si="13"/>
        <v/>
      </c>
      <c r="AN238" s="66" t="str">
        <f t="shared" si="14"/>
        <v/>
      </c>
      <c r="AO238" t="s">
        <v>957</v>
      </c>
      <c r="AQ238" s="66"/>
      <c r="AR238" s="66"/>
      <c r="AS238" s="66"/>
      <c r="AT238" s="66"/>
      <c r="AU238" s="1590"/>
      <c r="AV238" s="1590"/>
      <c r="AW238" s="1590"/>
      <c r="AX238" s="1590"/>
      <c r="AY238" s="1590"/>
      <c r="BA238" s="1590">
        <f t="shared" si="11"/>
        <v>0</v>
      </c>
      <c r="BB238" s="1590"/>
      <c r="BC238" s="1590"/>
      <c r="BD238" s="1590"/>
      <c r="BE238" s="1590">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10" t="str">
        <f>X!$C$410</f>
        <v>Ammissibile con limitazioni</v>
      </c>
      <c r="M239" s="1210"/>
      <c r="N239" s="1210"/>
      <c r="O239" s="1210"/>
      <c r="P239" s="1210"/>
      <c r="Q239" s="66"/>
      <c r="R239" s="66"/>
      <c r="S239" s="66" t="str">
        <f>X!$C$406</f>
        <v>(vedi ORRPChim)</v>
      </c>
      <c r="T239" s="66"/>
      <c r="U239" s="66"/>
      <c r="V239" s="66"/>
      <c r="W239" s="66"/>
      <c r="X239" s="66"/>
      <c r="Y239" s="66"/>
      <c r="Z239" s="66"/>
      <c r="AA239" s="66"/>
      <c r="AB239" s="1590">
        <v>1386</v>
      </c>
      <c r="AC239" s="1590"/>
      <c r="AD239" s="1590"/>
      <c r="AE239" s="1590"/>
      <c r="AF239" s="1590"/>
      <c r="AH239" s="1590">
        <f t="shared" si="18"/>
        <v>0</v>
      </c>
      <c r="AI239" s="1590"/>
      <c r="AJ239" s="1590"/>
      <c r="AK239" s="1590"/>
      <c r="AL239" s="1590"/>
      <c r="AM239" s="66" t="str">
        <f t="shared" si="13"/>
        <v/>
      </c>
      <c r="AN239" s="66" t="str">
        <f t="shared" si="14"/>
        <v/>
      </c>
      <c r="AO239" t="s">
        <v>957</v>
      </c>
      <c r="AQ239" s="66"/>
      <c r="AR239" s="66"/>
      <c r="AS239" s="66"/>
      <c r="AT239" s="66"/>
      <c r="AU239" s="1590"/>
      <c r="AV239" s="1590"/>
      <c r="AW239" s="1590"/>
      <c r="AX239" s="1590"/>
      <c r="AY239" s="1590"/>
      <c r="BA239" s="1590">
        <f t="shared" si="11"/>
        <v>0</v>
      </c>
      <c r="BB239" s="1590"/>
      <c r="BC239" s="1590"/>
      <c r="BD239" s="1590"/>
      <c r="BE239" s="1590">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10" t="str">
        <f>X!$C$410</f>
        <v>Ammissibile con limitazioni</v>
      </c>
      <c r="M240" s="1210"/>
      <c r="N240" s="1210"/>
      <c r="O240" s="1210"/>
      <c r="P240" s="1210"/>
      <c r="Q240" s="66"/>
      <c r="R240" s="66"/>
      <c r="S240" s="66" t="str">
        <f>X!$C$406</f>
        <v>(vedi ORRPChim)</v>
      </c>
      <c r="T240" s="66"/>
      <c r="U240" s="66"/>
      <c r="V240" s="66"/>
      <c r="W240" s="66"/>
      <c r="X240" s="66"/>
      <c r="Y240" s="66"/>
      <c r="Z240" s="66"/>
      <c r="AA240" s="66"/>
      <c r="AB240" s="1588">
        <v>1396</v>
      </c>
      <c r="AC240" s="1588"/>
      <c r="AD240" s="1588"/>
      <c r="AE240" s="1588"/>
      <c r="AF240" s="1588"/>
      <c r="AH240" s="1590">
        <f t="shared" si="18"/>
        <v>0</v>
      </c>
      <c r="AI240" s="1590"/>
      <c r="AJ240" s="1590"/>
      <c r="AK240" s="1590"/>
      <c r="AL240" s="1590"/>
      <c r="AM240" s="66" t="str">
        <f t="shared" si="13"/>
        <v/>
      </c>
      <c r="AN240" s="66" t="str">
        <f t="shared" si="14"/>
        <v/>
      </c>
      <c r="AO240" t="s">
        <v>957</v>
      </c>
      <c r="AQ240" s="66"/>
      <c r="AR240" s="66"/>
      <c r="AS240" s="66"/>
      <c r="AT240" s="66"/>
      <c r="AU240" s="1590"/>
      <c r="AV240" s="1590"/>
      <c r="AW240" s="1590"/>
      <c r="AX240" s="1590"/>
      <c r="AY240" s="1590"/>
      <c r="BA240" s="1590">
        <f t="shared" si="11"/>
        <v>0</v>
      </c>
      <c r="BB240" s="1590"/>
      <c r="BC240" s="1590"/>
      <c r="BD240" s="1590"/>
      <c r="BE240" s="1590">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10" t="str">
        <f>X!$C$410</f>
        <v>Ammissibile con limitazioni</v>
      </c>
      <c r="M241" s="1210"/>
      <c r="N241" s="1210"/>
      <c r="O241" s="1210"/>
      <c r="P241" s="1210"/>
      <c r="Q241" s="66"/>
      <c r="R241" s="66"/>
      <c r="S241" s="66" t="str">
        <f>X!$C$406</f>
        <v>(vedi ORRPChim)</v>
      </c>
      <c r="T241" s="66"/>
      <c r="U241" s="66"/>
      <c r="V241" s="66"/>
      <c r="W241" s="66"/>
      <c r="X241" s="66"/>
      <c r="Y241" s="66"/>
      <c r="Z241" s="66"/>
      <c r="AA241" s="66"/>
      <c r="AB241" s="1590">
        <v>601</v>
      </c>
      <c r="AC241" s="1590"/>
      <c r="AD241" s="1590"/>
      <c r="AE241" s="1590"/>
      <c r="AF241" s="1590"/>
      <c r="AH241" s="1590">
        <f t="shared" si="18"/>
        <v>0</v>
      </c>
      <c r="AI241" s="1590"/>
      <c r="AJ241" s="1590"/>
      <c r="AK241" s="1590"/>
      <c r="AL241" s="1590"/>
      <c r="AM241" s="66" t="str">
        <f t="shared" si="13"/>
        <v/>
      </c>
      <c r="AN241" s="66" t="str">
        <f t="shared" si="14"/>
        <v/>
      </c>
      <c r="AO241" t="s">
        <v>957</v>
      </c>
      <c r="AQ241" s="66"/>
      <c r="AR241" s="66"/>
      <c r="AS241" s="66"/>
      <c r="AT241" s="66"/>
      <c r="AU241" s="1590"/>
      <c r="AV241" s="1590"/>
      <c r="AW241" s="1590"/>
      <c r="AX241" s="1590"/>
      <c r="AY241" s="1590"/>
      <c r="BA241" s="1590">
        <f t="shared" si="11"/>
        <v>0</v>
      </c>
      <c r="BB241" s="1590"/>
      <c r="BC241" s="1590"/>
      <c r="BD241" s="1590"/>
      <c r="BE241" s="1590">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10" t="str">
        <f>X!$C$410</f>
        <v>Ammissibile con limitazioni</v>
      </c>
      <c r="M242" s="1210"/>
      <c r="N242" s="1210"/>
      <c r="O242" s="1210"/>
      <c r="P242" s="1210"/>
      <c r="Q242" s="66"/>
      <c r="R242" s="66"/>
      <c r="S242" s="66" t="str">
        <f>X!$C$406</f>
        <v>(vedi ORRPChim)</v>
      </c>
      <c r="T242" s="66"/>
      <c r="U242" s="66"/>
      <c r="V242" s="66"/>
      <c r="W242" s="66"/>
      <c r="X242" s="66"/>
      <c r="Y242" s="66"/>
      <c r="Z242" s="66"/>
      <c r="AA242" s="66"/>
      <c r="AB242" s="1591">
        <v>2140</v>
      </c>
      <c r="AC242" s="1591"/>
      <c r="AD242" s="1591"/>
      <c r="AE242" s="1591"/>
      <c r="AF242" s="1591"/>
      <c r="AH242" s="1590">
        <f t="shared" ref="AH242" si="19">IF(AH$226=D242,AB242,0)</f>
        <v>0</v>
      </c>
      <c r="AI242" s="1590"/>
      <c r="AJ242" s="1590"/>
      <c r="AK242" s="1590"/>
      <c r="AL242" s="1590"/>
      <c r="AM242" s="66" t="str">
        <f t="shared" si="13"/>
        <v/>
      </c>
      <c r="AN242" s="66" t="str">
        <f t="shared" si="14"/>
        <v/>
      </c>
      <c r="AO242" t="s">
        <v>957</v>
      </c>
      <c r="AQ242" s="66"/>
      <c r="AR242" s="66"/>
      <c r="AS242" s="66"/>
      <c r="AT242" s="66"/>
      <c r="AU242" s="1590"/>
      <c r="AV242" s="1590"/>
      <c r="AW242" s="1590"/>
      <c r="AX242" s="1590"/>
      <c r="AY242" s="1590"/>
      <c r="BA242" s="1590">
        <f t="shared" ref="BA242" si="20">IF(D242=BA$226,AB242,0)</f>
        <v>0</v>
      </c>
      <c r="BB242" s="1590"/>
      <c r="BC242" s="1590"/>
      <c r="BD242" s="1590"/>
      <c r="BE242" s="1590">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10" t="str">
        <f>X!$C$410</f>
        <v>Ammissibile con limitazioni</v>
      </c>
      <c r="M243" s="1210"/>
      <c r="N243" s="1210"/>
      <c r="O243" s="1210"/>
      <c r="P243" s="1210"/>
      <c r="Q243" s="66"/>
      <c r="R243" s="66"/>
      <c r="S243" s="66" t="str">
        <f>X!$C$406</f>
        <v>(vedi ORRPChim)</v>
      </c>
      <c r="T243" s="66"/>
      <c r="U243" s="66"/>
      <c r="V243" s="66"/>
      <c r="W243" s="66"/>
      <c r="X243" s="66"/>
      <c r="Y243" s="66"/>
      <c r="Z243" s="66"/>
      <c r="AA243" s="66"/>
      <c r="AB243" s="1591">
        <v>146</v>
      </c>
      <c r="AC243" s="1591"/>
      <c r="AD243" s="1591"/>
      <c r="AE243" s="1591"/>
      <c r="AF243" s="1591"/>
      <c r="AH243" s="1590">
        <f t="shared" ref="AH243" si="21">IF(AH$226=D243,AB243,0)</f>
        <v>0</v>
      </c>
      <c r="AI243" s="1590"/>
      <c r="AJ243" s="1590"/>
      <c r="AK243" s="1590"/>
      <c r="AL243" s="1590"/>
      <c r="AM243" s="66" t="str">
        <f t="shared" si="13"/>
        <v/>
      </c>
      <c r="AN243" s="66" t="str">
        <f t="shared" si="14"/>
        <v/>
      </c>
      <c r="AO243" t="s">
        <v>957</v>
      </c>
      <c r="AQ243" s="66"/>
      <c r="AR243" s="66"/>
      <c r="AS243" s="66"/>
      <c r="AT243" s="66"/>
      <c r="AU243" s="1590"/>
      <c r="AV243" s="1590"/>
      <c r="AW243" s="1590"/>
      <c r="AX243" s="1590"/>
      <c r="AY243" s="1590"/>
      <c r="BA243" s="1590">
        <f t="shared" ref="BA243" si="22">IF(D243=BA$226,AB243,0)</f>
        <v>0</v>
      </c>
      <c r="BB243" s="1590"/>
      <c r="BC243" s="1590"/>
      <c r="BD243" s="1590"/>
      <c r="BE243" s="1590">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10" t="str">
        <f>X!$C$410</f>
        <v>Ammissibile con limitazioni</v>
      </c>
      <c r="M244" s="1210"/>
      <c r="N244" s="1210"/>
      <c r="O244" s="1210"/>
      <c r="P244" s="1210"/>
      <c r="Q244" s="66"/>
      <c r="R244" s="66"/>
      <c r="S244" s="66" t="str">
        <f>X!$C$406</f>
        <v>(vedi ORRPChim)</v>
      </c>
      <c r="T244" s="66"/>
      <c r="U244" s="66"/>
      <c r="V244" s="66"/>
      <c r="W244" s="66"/>
      <c r="X244" s="66"/>
      <c r="Y244" s="66"/>
      <c r="Z244" s="66"/>
      <c r="AA244" s="66"/>
      <c r="AB244" s="1588">
        <v>3985</v>
      </c>
      <c r="AC244" s="1588"/>
      <c r="AD244" s="1588"/>
      <c r="AE244" s="1588"/>
      <c r="AF244" s="1588"/>
      <c r="AH244" s="1590">
        <f>IF(AH$226=D244,AB244,0)</f>
        <v>0</v>
      </c>
      <c r="AI244" s="1590"/>
      <c r="AJ244" s="1590"/>
      <c r="AK244" s="1590"/>
      <c r="AL244" s="1590"/>
      <c r="AM244" s="66" t="str">
        <f t="shared" si="13"/>
        <v/>
      </c>
      <c r="AN244" s="66" t="str">
        <f t="shared" si="14"/>
        <v/>
      </c>
      <c r="AO244" t="s">
        <v>957</v>
      </c>
      <c r="AQ244" s="66"/>
      <c r="AR244" s="66"/>
      <c r="AS244" s="66"/>
      <c r="AT244" s="66"/>
      <c r="AU244" s="1590"/>
      <c r="AV244" s="1590"/>
      <c r="AW244" s="1590"/>
      <c r="AX244" s="1590"/>
      <c r="AY244" s="1590"/>
      <c r="BA244" s="1590">
        <f t="shared" si="11"/>
        <v>0</v>
      </c>
      <c r="BB244" s="1590"/>
      <c r="BC244" s="1590"/>
      <c r="BD244" s="1590"/>
      <c r="BE244" s="1590">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10" t="str">
        <f>X!$C$410</f>
        <v>Ammissibile con limitazioni</v>
      </c>
      <c r="M245" s="1210"/>
      <c r="N245" s="1210"/>
      <c r="O245" s="1210"/>
      <c r="P245" s="1210"/>
      <c r="Q245" s="66"/>
      <c r="R245" s="66"/>
      <c r="S245" s="66" t="str">
        <f>X!$C$406</f>
        <v>(vedi ORRPChim)</v>
      </c>
      <c r="T245" s="66"/>
      <c r="U245" s="66"/>
      <c r="V245" s="66"/>
      <c r="W245" s="66"/>
      <c r="X245" s="66"/>
      <c r="Y245" s="66"/>
      <c r="Z245" s="66"/>
      <c r="AA245" s="66"/>
      <c r="AB245" s="1588">
        <v>630</v>
      </c>
      <c r="AC245" s="1588"/>
      <c r="AD245" s="1588"/>
      <c r="AE245" s="1588"/>
      <c r="AF245" s="1588"/>
      <c r="AH245" s="1590">
        <f>IF(AH$226=D245,AB245,0)</f>
        <v>0</v>
      </c>
      <c r="AI245" s="1590"/>
      <c r="AJ245" s="1590"/>
      <c r="AK245" s="1590"/>
      <c r="AL245" s="1590"/>
      <c r="AM245" s="66" t="str">
        <f t="shared" si="13"/>
        <v/>
      </c>
      <c r="AN245" s="66" t="str">
        <f t="shared" si="14"/>
        <v/>
      </c>
      <c r="AO245" t="s">
        <v>957</v>
      </c>
      <c r="AQ245" s="66"/>
      <c r="AR245" s="66"/>
      <c r="AS245" s="66"/>
      <c r="AT245" s="66"/>
      <c r="AU245" s="1590"/>
      <c r="AV245" s="1590"/>
      <c r="AW245" s="1590"/>
      <c r="AX245" s="1590"/>
      <c r="AY245" s="1590"/>
      <c r="BA245" s="1590">
        <f t="shared" si="11"/>
        <v>0</v>
      </c>
      <c r="BB245" s="1590"/>
      <c r="BC245" s="1590"/>
      <c r="BD245" s="1590"/>
      <c r="BE245" s="1590">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10" t="str">
        <f>X!$C$410</f>
        <v>Ammissibile con limitazioni</v>
      </c>
      <c r="M246" s="1210"/>
      <c r="N246" s="1210"/>
      <c r="O246" s="1210"/>
      <c r="P246" s="1210"/>
      <c r="Q246" s="66"/>
      <c r="R246" s="66"/>
      <c r="S246" s="66" t="str">
        <f>X!$C$406</f>
        <v>(vedi ORRPChim)</v>
      </c>
      <c r="T246" s="66"/>
      <c r="U246" s="66"/>
      <c r="V246" s="66"/>
      <c r="W246" s="66"/>
      <c r="X246" s="66"/>
      <c r="Y246" s="66"/>
      <c r="Z246" s="66"/>
      <c r="AA246" s="66"/>
      <c r="AB246" s="1591">
        <v>293</v>
      </c>
      <c r="AC246" s="1591"/>
      <c r="AD246" s="1591"/>
      <c r="AE246" s="1591"/>
      <c r="AF246" s="1591"/>
      <c r="AH246" s="1590">
        <f t="shared" ref="AH246" si="23">IF(AH$226=D246,AB246,0)</f>
        <v>0</v>
      </c>
      <c r="AI246" s="1590"/>
      <c r="AJ246" s="1590"/>
      <c r="AK246" s="1590"/>
      <c r="AL246" s="1590"/>
      <c r="AM246" s="66" t="str">
        <f t="shared" si="13"/>
        <v/>
      </c>
      <c r="AN246" s="66" t="str">
        <f t="shared" si="14"/>
        <v/>
      </c>
      <c r="AO246" t="s">
        <v>957</v>
      </c>
      <c r="AQ246" s="66"/>
      <c r="AR246" s="66"/>
      <c r="AS246" s="66"/>
      <c r="AT246" s="66"/>
      <c r="AU246" s="1590"/>
      <c r="AV246" s="1590"/>
      <c r="AW246" s="1590"/>
      <c r="AX246" s="1590"/>
      <c r="AY246" s="1590"/>
      <c r="BA246" s="1590">
        <f t="shared" ref="BA246" si="24">IF(D246=BA$226,AB246,0)</f>
        <v>0</v>
      </c>
      <c r="BB246" s="1590"/>
      <c r="BC246" s="1590"/>
      <c r="BD246" s="1590"/>
      <c r="BE246" s="1590">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10" t="str">
        <f>X!$C$411</f>
        <v>ammissibile</v>
      </c>
      <c r="M247" s="1210"/>
      <c r="N247" s="1210"/>
      <c r="O247" s="1210"/>
      <c r="P247" s="1210"/>
      <c r="Q247" s="66"/>
      <c r="R247" s="66"/>
      <c r="S247" s="1100">
        <v>0</v>
      </c>
      <c r="T247" s="66"/>
      <c r="U247" s="66"/>
      <c r="V247" s="66"/>
      <c r="W247" s="66"/>
      <c r="X247" s="66"/>
      <c r="Y247" s="66"/>
      <c r="Z247" s="66"/>
      <c r="AA247" s="66"/>
      <c r="AB247" s="1588">
        <v>0</v>
      </c>
      <c r="AC247" s="1588"/>
      <c r="AD247" s="1588"/>
      <c r="AE247" s="1588"/>
      <c r="AF247" s="1588"/>
      <c r="AH247" s="1590">
        <f t="shared" ref="AH247:AH252" si="25">IF(AH$226=D247,AB247,0)</f>
        <v>0</v>
      </c>
      <c r="AI247" s="1590"/>
      <c r="AJ247" s="1590"/>
      <c r="AK247" s="1590"/>
      <c r="AL247" s="1590"/>
      <c r="AM247" s="66" t="str">
        <f t="shared" si="13"/>
        <v/>
      </c>
      <c r="AN247" s="66" t="str">
        <f t="shared" si="14"/>
        <v/>
      </c>
      <c r="AO247" t="s">
        <v>957</v>
      </c>
      <c r="AQ247" s="66"/>
      <c r="AR247" s="66"/>
      <c r="AS247" s="66"/>
      <c r="AT247" s="66"/>
      <c r="AU247" s="1590"/>
      <c r="AV247" s="1590"/>
      <c r="AW247" s="1590"/>
      <c r="AX247" s="1590"/>
      <c r="AY247" s="1590"/>
      <c r="BA247" s="1590">
        <f t="shared" si="11"/>
        <v>0</v>
      </c>
      <c r="BB247" s="1590"/>
      <c r="BC247" s="1590"/>
      <c r="BD247" s="1590"/>
      <c r="BE247" s="1590">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10" t="str">
        <f>X!$C$411</f>
        <v>ammissibile</v>
      </c>
      <c r="M248" s="1210"/>
      <c r="N248" s="1210"/>
      <c r="O248" s="1210"/>
      <c r="P248" s="1210"/>
      <c r="Q248" s="66"/>
      <c r="R248" s="66"/>
      <c r="S248" s="1100">
        <v>0</v>
      </c>
      <c r="T248" s="66"/>
      <c r="U248" s="66"/>
      <c r="V248" s="66"/>
      <c r="W248" s="66"/>
      <c r="X248" s="66"/>
      <c r="Y248" s="66"/>
      <c r="Z248" s="66"/>
      <c r="AA248" s="66"/>
      <c r="AB248" s="1588">
        <v>8</v>
      </c>
      <c r="AC248" s="1588"/>
      <c r="AD248" s="1588"/>
      <c r="AE248" s="1588"/>
      <c r="AF248" s="1588"/>
      <c r="AH248" s="1590">
        <f t="shared" si="25"/>
        <v>0</v>
      </c>
      <c r="AI248" s="1590"/>
      <c r="AJ248" s="1590"/>
      <c r="AK248" s="1590"/>
      <c r="AL248" s="1590"/>
      <c r="AM248" s="66" t="str">
        <f t="shared" si="13"/>
        <v/>
      </c>
      <c r="AN248" s="66" t="str">
        <f t="shared" si="14"/>
        <v/>
      </c>
      <c r="AO248" t="s">
        <v>957</v>
      </c>
      <c r="AQ248" s="66"/>
      <c r="AR248" s="66"/>
      <c r="AS248" s="66"/>
      <c r="AT248" s="66"/>
      <c r="AU248" s="1590"/>
      <c r="AV248" s="1590"/>
      <c r="AW248" s="1590"/>
      <c r="AX248" s="1590"/>
      <c r="AY248" s="1590"/>
      <c r="BA248" s="1590">
        <f t="shared" si="11"/>
        <v>0</v>
      </c>
      <c r="BB248" s="1590"/>
      <c r="BC248" s="1590"/>
      <c r="BD248" s="1590"/>
      <c r="BE248" s="1590">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10" t="str">
        <f>X!$C$411</f>
        <v>ammissibile</v>
      </c>
      <c r="M249" s="1210"/>
      <c r="N249" s="1210"/>
      <c r="O249" s="1210"/>
      <c r="P249" s="1210"/>
      <c r="Q249" s="66"/>
      <c r="R249" s="66"/>
      <c r="S249" s="1100">
        <v>0</v>
      </c>
      <c r="T249" s="66"/>
      <c r="U249" s="66"/>
      <c r="V249" s="66"/>
      <c r="W249" s="66"/>
      <c r="X249" s="66"/>
      <c r="Y249" s="66"/>
      <c r="Z249" s="66"/>
      <c r="AA249" s="66"/>
      <c r="AB249" s="1590">
        <v>1</v>
      </c>
      <c r="AC249" s="1590"/>
      <c r="AD249" s="1590"/>
      <c r="AE249" s="1590"/>
      <c r="AF249" s="1590"/>
      <c r="AH249" s="1590">
        <f t="shared" si="25"/>
        <v>0</v>
      </c>
      <c r="AI249" s="1590"/>
      <c r="AJ249" s="1590"/>
      <c r="AK249" s="1590"/>
      <c r="AL249" s="1590"/>
      <c r="AM249" s="66" t="str">
        <f t="shared" si="13"/>
        <v/>
      </c>
      <c r="AN249" s="66" t="str">
        <f t="shared" si="14"/>
        <v/>
      </c>
      <c r="AO249" t="s">
        <v>957</v>
      </c>
      <c r="AQ249" s="66"/>
      <c r="AR249" s="66"/>
      <c r="AS249" s="66"/>
      <c r="AT249" s="66"/>
      <c r="AU249" s="1590"/>
      <c r="AV249" s="1590"/>
      <c r="AW249" s="1590"/>
      <c r="AX249" s="1590"/>
      <c r="AY249" s="1590"/>
      <c r="BA249" s="1590">
        <f t="shared" si="11"/>
        <v>0</v>
      </c>
      <c r="BB249" s="1590"/>
      <c r="BC249" s="1590"/>
      <c r="BD249" s="1590"/>
      <c r="BE249" s="1590">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10" t="str">
        <f>X!$C$411</f>
        <v>ammissibile</v>
      </c>
      <c r="M250" s="1210"/>
      <c r="N250" s="1210"/>
      <c r="O250" s="1210"/>
      <c r="P250" s="1210"/>
      <c r="Q250" s="66"/>
      <c r="R250" s="66"/>
      <c r="S250" s="1100">
        <v>0</v>
      </c>
      <c r="T250" s="66"/>
      <c r="U250" s="66"/>
      <c r="V250" s="66"/>
      <c r="W250" s="66"/>
      <c r="X250" s="66"/>
      <c r="Y250" s="66"/>
      <c r="Z250" s="66"/>
      <c r="AA250" s="66"/>
      <c r="AB250" s="1588">
        <v>2</v>
      </c>
      <c r="AC250" s="1588"/>
      <c r="AD250" s="1588"/>
      <c r="AE250" s="1588"/>
      <c r="AF250" s="1588"/>
      <c r="AH250" s="1590">
        <f t="shared" si="25"/>
        <v>0</v>
      </c>
      <c r="AI250" s="1590"/>
      <c r="AJ250" s="1590"/>
      <c r="AK250" s="1590"/>
      <c r="AL250" s="1590"/>
      <c r="AM250" s="66" t="str">
        <f t="shared" si="13"/>
        <v/>
      </c>
      <c r="AN250" s="66" t="str">
        <f t="shared" si="14"/>
        <v/>
      </c>
      <c r="AO250" t="s">
        <v>957</v>
      </c>
      <c r="AQ250" s="66"/>
      <c r="AR250" s="66"/>
      <c r="AS250" s="66"/>
      <c r="AT250" s="66"/>
      <c r="AU250" s="1590"/>
      <c r="AV250" s="1590"/>
      <c r="AW250" s="1590"/>
      <c r="AX250" s="1590"/>
      <c r="AY250" s="1590"/>
      <c r="BA250" s="1590">
        <f t="shared" si="11"/>
        <v>0</v>
      </c>
      <c r="BB250" s="1590"/>
      <c r="BC250" s="1590"/>
      <c r="BD250" s="1590"/>
      <c r="BE250" s="1590">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10" t="str">
        <f>X!$C$409</f>
        <v>Proibito con eccezioni</v>
      </c>
      <c r="M251" s="1210"/>
      <c r="N251" s="1210"/>
      <c r="O251" s="1210"/>
      <c r="P251" s="1210"/>
      <c r="Q251" s="66"/>
      <c r="R251" s="66"/>
      <c r="S251" s="66" t="str">
        <f>X!$C$406</f>
        <v>(vedi ORRPChim)</v>
      </c>
      <c r="T251" s="66"/>
      <c r="U251" s="66"/>
      <c r="V251" s="66"/>
      <c r="W251" s="66"/>
      <c r="X251" s="66"/>
      <c r="Y251" s="66"/>
      <c r="Z251" s="66"/>
      <c r="AA251" s="66"/>
      <c r="AB251" s="1637">
        <v>4</v>
      </c>
      <c r="AC251" s="1637"/>
      <c r="AD251" s="1637"/>
      <c r="AE251" s="1637"/>
      <c r="AF251" s="1637"/>
      <c r="AH251" s="1590">
        <f t="shared" si="25"/>
        <v>0</v>
      </c>
      <c r="AI251" s="1590"/>
      <c r="AJ251" s="1590"/>
      <c r="AK251" s="1590"/>
      <c r="AL251" s="1590"/>
      <c r="AM251" s="66" t="str">
        <f t="shared" si="13"/>
        <v/>
      </c>
      <c r="AN251" s="66" t="str">
        <f t="shared" si="14"/>
        <v/>
      </c>
      <c r="AO251" t="s">
        <v>957</v>
      </c>
      <c r="AQ251" s="66"/>
      <c r="AR251" s="66"/>
      <c r="AS251" s="66"/>
      <c r="AT251" s="66"/>
      <c r="AU251" s="1590"/>
      <c r="AV251" s="1590"/>
      <c r="AW251" s="1590"/>
      <c r="AX251" s="1590"/>
      <c r="AY251" s="1590"/>
      <c r="BA251" s="1590">
        <f t="shared" si="11"/>
        <v>0</v>
      </c>
      <c r="BB251" s="1590"/>
      <c r="BC251" s="1590"/>
      <c r="BD251" s="1590"/>
      <c r="BE251" s="1590">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10" t="str">
        <f>X!$C$411</f>
        <v>ammissibile</v>
      </c>
      <c r="M252" s="1210"/>
      <c r="N252" s="1210"/>
      <c r="O252" s="1210"/>
      <c r="P252" s="1210"/>
      <c r="Q252" s="66"/>
      <c r="R252" s="66"/>
      <c r="S252" s="1100">
        <v>0</v>
      </c>
      <c r="T252" s="66"/>
      <c r="U252" s="66"/>
      <c r="V252" s="66"/>
      <c r="W252" s="66"/>
      <c r="X252" s="66"/>
      <c r="Y252" s="66"/>
      <c r="Z252" s="66"/>
      <c r="AA252" s="66"/>
      <c r="AB252" s="1588">
        <v>1</v>
      </c>
      <c r="AC252" s="1588"/>
      <c r="AD252" s="1588"/>
      <c r="AE252" s="1588"/>
      <c r="AF252" s="1588"/>
      <c r="AH252" s="1590">
        <f t="shared" si="25"/>
        <v>0</v>
      </c>
      <c r="AI252" s="1590"/>
      <c r="AJ252" s="1590"/>
      <c r="AK252" s="1590"/>
      <c r="AL252" s="1590"/>
      <c r="AM252" s="66" t="str">
        <f t="shared" si="13"/>
        <v/>
      </c>
      <c r="AN252" s="66" t="str">
        <f t="shared" si="14"/>
        <v/>
      </c>
      <c r="AO252" t="s">
        <v>957</v>
      </c>
      <c r="AQ252" s="66"/>
      <c r="AR252" s="66"/>
      <c r="AS252" s="66"/>
      <c r="AT252" s="66"/>
      <c r="AU252" s="1590"/>
      <c r="AV252" s="1590"/>
      <c r="AW252" s="1590"/>
      <c r="AX252" s="1590"/>
      <c r="AY252" s="1590"/>
      <c r="BA252" s="1590">
        <f t="shared" si="11"/>
        <v>0</v>
      </c>
      <c r="BB252" s="1590"/>
      <c r="BC252" s="1590"/>
      <c r="BD252" s="1590"/>
      <c r="BE252" s="1590">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10" t="str">
        <f>X!$C$411</f>
        <v>ammissibile</v>
      </c>
      <c r="M253" s="1210"/>
      <c r="N253" s="1210"/>
      <c r="O253" s="1210"/>
      <c r="P253" s="1210"/>
      <c r="Q253" s="66"/>
      <c r="R253" s="66"/>
      <c r="S253" s="1100">
        <v>0</v>
      </c>
      <c r="T253" s="66"/>
      <c r="U253" s="66"/>
      <c r="V253" s="66"/>
      <c r="W253" s="66"/>
      <c r="X253" s="66"/>
      <c r="Y253" s="66"/>
      <c r="Z253" s="66"/>
      <c r="AA253" s="66"/>
      <c r="AB253" s="1588">
        <v>1</v>
      </c>
      <c r="AC253" s="1588"/>
      <c r="AD253" s="1588"/>
      <c r="AE253" s="1588"/>
      <c r="AF253" s="1588"/>
      <c r="AH253" s="1590">
        <f t="shared" ref="AH253" si="26">IF(AH$226=D253,AB253,0)</f>
        <v>0</v>
      </c>
      <c r="AI253" s="1590"/>
      <c r="AJ253" s="1590"/>
      <c r="AK253" s="1590"/>
      <c r="AL253" s="1590"/>
      <c r="AM253" s="66" t="str">
        <f t="shared" si="13"/>
        <v/>
      </c>
      <c r="AN253" s="66" t="str">
        <f t="shared" si="14"/>
        <v/>
      </c>
      <c r="AO253" t="s">
        <v>957</v>
      </c>
      <c r="AQ253" s="66"/>
      <c r="AR253" s="66"/>
      <c r="AS253" s="66"/>
      <c r="AT253" s="66"/>
      <c r="AU253" s="1590"/>
      <c r="AV253" s="1590"/>
      <c r="AW253" s="1590"/>
      <c r="AX253" s="1590"/>
      <c r="AY253" s="1590"/>
      <c r="BA253" s="1590">
        <f t="shared" ref="BA253" si="27">IF(D253=BA$226,AB253,0)</f>
        <v>0</v>
      </c>
      <c r="BB253" s="1590"/>
      <c r="BC253" s="1590"/>
      <c r="BD253" s="1590"/>
      <c r="BE253" s="1590">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10" t="str">
        <f>X!$C$411</f>
        <v>ammissibile</v>
      </c>
      <c r="M254" s="1210"/>
      <c r="N254" s="1210"/>
      <c r="O254" s="1210"/>
      <c r="P254" s="1210"/>
      <c r="Q254" s="66"/>
      <c r="R254" s="66"/>
      <c r="S254" s="1100">
        <v>0</v>
      </c>
      <c r="T254" s="66"/>
      <c r="U254" s="66"/>
      <c r="V254" s="66"/>
      <c r="W254" s="66"/>
      <c r="X254" s="66"/>
      <c r="Y254" s="66"/>
      <c r="Z254" s="66"/>
      <c r="AA254" s="66"/>
      <c r="AB254" s="1588">
        <v>2</v>
      </c>
      <c r="AC254" s="1588"/>
      <c r="AD254" s="1588"/>
      <c r="AE254" s="1588"/>
      <c r="AF254" s="1588"/>
      <c r="AH254" s="1590">
        <f>IF(AH$226=D254,AB254,0)</f>
        <v>0</v>
      </c>
      <c r="AI254" s="1590"/>
      <c r="AJ254" s="1590"/>
      <c r="AK254" s="1590"/>
      <c r="AL254" s="1590"/>
      <c r="AM254" s="66" t="str">
        <f t="shared" si="13"/>
        <v/>
      </c>
      <c r="AN254" s="66" t="str">
        <f t="shared" si="14"/>
        <v/>
      </c>
      <c r="AO254" t="s">
        <v>957</v>
      </c>
      <c r="AQ254" s="66"/>
      <c r="AR254" s="66"/>
      <c r="AS254" s="66"/>
      <c r="AT254" s="66"/>
      <c r="AU254" s="1590"/>
      <c r="AV254" s="1590"/>
      <c r="AW254" s="1590"/>
      <c r="AX254" s="1590"/>
      <c r="AY254" s="1590"/>
      <c r="BA254" s="1590">
        <f t="shared" si="11"/>
        <v>0</v>
      </c>
      <c r="BB254" s="1590"/>
      <c r="BC254" s="1590"/>
      <c r="BD254" s="1590"/>
      <c r="BE254" s="1590">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10"/>
      <c r="M255" s="1210"/>
      <c r="N255" s="1210"/>
      <c r="O255" s="1210"/>
      <c r="P255" s="1210"/>
      <c r="Q255" s="205"/>
      <c r="R255" s="205"/>
      <c r="S255" s="205"/>
      <c r="T255" s="205"/>
      <c r="U255" s="205"/>
      <c r="V255" s="205"/>
      <c r="W255" s="205"/>
      <c r="X255" s="205"/>
      <c r="Y255" s="205"/>
      <c r="Z255" s="205"/>
      <c r="AA255" s="205"/>
      <c r="AB255" s="1601"/>
      <c r="AC255" s="1601"/>
      <c r="AD255" s="1601"/>
      <c r="AE255" s="1601"/>
      <c r="AF255" s="1601"/>
      <c r="AH255" s="1601">
        <f>SUM(AH227:AL252)</f>
        <v>0</v>
      </c>
      <c r="AI255" s="1601"/>
      <c r="AJ255" s="1601"/>
      <c r="AK255" s="1601"/>
      <c r="AL255" s="160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01"/>
      <c r="AV255" s="1601"/>
      <c r="AW255" s="1601"/>
      <c r="AX255" s="1601"/>
      <c r="AY255" s="1601"/>
      <c r="BA255" s="1601">
        <f>SUM(BA227:BE252)</f>
        <v>0</v>
      </c>
      <c r="BB255" s="1601"/>
      <c r="BC255" s="1601"/>
      <c r="BD255" s="1601"/>
      <c r="BE255" s="160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592">
        <f>Z41</f>
        <v>0</v>
      </c>
      <c r="AI261" s="1592"/>
      <c r="AJ261" s="1592"/>
      <c r="AK261" s="1592"/>
      <c r="AL261" s="1592" t="s">
        <v>22</v>
      </c>
      <c r="AM261" s="289"/>
      <c r="AN261" s="63"/>
      <c r="AQ261" s="63"/>
      <c r="AR261" s="63"/>
      <c r="AS261" s="63"/>
      <c r="AT261" s="63"/>
      <c r="AU261" s="63"/>
      <c r="AV261" s="63"/>
      <c r="AW261" s="63"/>
      <c r="AX261" s="63"/>
      <c r="AY261" s="288"/>
      <c r="BA261" s="1592">
        <f>AS41</f>
        <v>0</v>
      </c>
      <c r="BB261" s="1592"/>
      <c r="BC261" s="1592"/>
      <c r="BD261" s="1592"/>
      <c r="BE261" s="1592"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Consumo misto svizzero</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02">
        <v>0.128</v>
      </c>
      <c r="AC262" s="1602"/>
      <c r="AD262" s="1602"/>
      <c r="AE262" s="1602"/>
      <c r="AF262" s="1602"/>
      <c r="AH262" s="1590">
        <f>IF(D262=AH$261,AB262,0)</f>
        <v>0</v>
      </c>
      <c r="AI262" s="1590"/>
      <c r="AJ262" s="1590"/>
      <c r="AK262" s="1590"/>
      <c r="AL262" s="1590">
        <v>0</v>
      </c>
      <c r="AM262" s="236"/>
      <c r="AN262" s="66"/>
      <c r="AQ262" s="66"/>
      <c r="AR262" s="66"/>
      <c r="AS262" s="66"/>
      <c r="AT262" s="66"/>
      <c r="AU262" s="1590"/>
      <c r="AV262" s="1590"/>
      <c r="AW262" s="1590"/>
      <c r="AX262" s="1590"/>
      <c r="AY262" s="1590"/>
      <c r="BA262" s="1590">
        <f>IF(D262=BA$261,AB262,0)</f>
        <v>0</v>
      </c>
      <c r="BB262" s="1590"/>
      <c r="BC262" s="1590"/>
      <c r="BD262" s="1590"/>
      <c r="BE262" s="1590">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Mix elettrico svizzero.</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02">
        <v>2.9600000000000001E-2</v>
      </c>
      <c r="AC263" s="1602"/>
      <c r="AD263" s="1602"/>
      <c r="AE263" s="1602"/>
      <c r="AF263" s="1602"/>
      <c r="AH263" s="1590">
        <f>IF(D263=AH$261,AB263,0)</f>
        <v>0</v>
      </c>
      <c r="AI263" s="1590"/>
      <c r="AJ263" s="1590"/>
      <c r="AK263" s="1590"/>
      <c r="AL263" s="1590">
        <v>0</v>
      </c>
      <c r="AM263" s="236"/>
      <c r="AN263" s="66"/>
      <c r="AQ263" s="66"/>
      <c r="AR263" s="66"/>
      <c r="AS263" s="66"/>
      <c r="AT263" s="66"/>
      <c r="AU263" s="1590"/>
      <c r="AV263" s="1590"/>
      <c r="AW263" s="1590"/>
      <c r="AX263" s="1590"/>
      <c r="AY263" s="1590"/>
      <c r="BA263" s="1590">
        <f>IF(D263=BA$261,AB263,0)</f>
        <v>0</v>
      </c>
      <c r="BB263" s="1590"/>
      <c r="BC263" s="1590"/>
      <c r="BD263" s="1590"/>
      <c r="BE263" s="1590">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Misto elettricità UE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02">
        <v>0.47099999999999997</v>
      </c>
      <c r="AC264" s="1602"/>
      <c r="AD264" s="1602"/>
      <c r="AE264" s="1602"/>
      <c r="AF264" s="1602"/>
      <c r="AH264" s="1590">
        <f>IF(D264=AH$261,AB264,0)</f>
        <v>0</v>
      </c>
      <c r="AI264" s="1590"/>
      <c r="AJ264" s="1590"/>
      <c r="AK264" s="1590"/>
      <c r="AL264" s="1590">
        <v>0</v>
      </c>
      <c r="AM264" s="236"/>
      <c r="AN264" s="66"/>
      <c r="AQ264" s="66"/>
      <c r="AR264" s="66"/>
      <c r="AS264" s="66"/>
      <c r="AT264" s="66"/>
      <c r="AU264" s="1590"/>
      <c r="AV264" s="1590"/>
      <c r="AW264" s="1590"/>
      <c r="AX264" s="1590"/>
      <c r="AY264" s="1590"/>
      <c r="BA264" s="1590">
        <f>IF(D264=BA$261,AB264,0)</f>
        <v>0</v>
      </c>
      <c r="BB264" s="1590"/>
      <c r="BC264" s="1590"/>
      <c r="BD264" s="1590"/>
      <c r="BE264" s="1590">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Fornitori Mix di elettricità Garanzia di origine</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02">
        <v>5.4699999999999999E-2</v>
      </c>
      <c r="AC265" s="1602"/>
      <c r="AD265" s="1602"/>
      <c r="AE265" s="1602"/>
      <c r="AF265" s="1602"/>
      <c r="AH265" s="1590">
        <f>IF(D265=AH$261,AB265,0)</f>
        <v>0</v>
      </c>
      <c r="AI265" s="1590"/>
      <c r="AJ265" s="1590"/>
      <c r="AK265" s="1590"/>
      <c r="AL265" s="1590">
        <v>0</v>
      </c>
      <c r="AM265" s="236"/>
      <c r="AN265" s="66"/>
      <c r="AQ265" s="66"/>
      <c r="AR265" s="66"/>
      <c r="AS265" s="66"/>
      <c r="AT265" s="66"/>
      <c r="AU265" s="1590"/>
      <c r="AV265" s="1590"/>
      <c r="AW265" s="1590"/>
      <c r="AX265" s="1590"/>
      <c r="AY265" s="1590"/>
      <c r="BA265" s="1590">
        <f>IF(D265=BA$261,AB265,0)</f>
        <v>0</v>
      </c>
      <c r="BB265" s="1590"/>
      <c r="BC265" s="1590"/>
      <c r="BD265" s="1590"/>
      <c r="BE265" s="1590">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Prodotto elettrico svizzero da energia rinnovabile</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02">
        <v>1.5699999999999999E-2</v>
      </c>
      <c r="AC266" s="1602"/>
      <c r="AD266" s="1602"/>
      <c r="AE266" s="1602"/>
      <c r="AF266" s="1602"/>
      <c r="AH266" s="1590">
        <f>IF(D266=AH$261,AB266,0)</f>
        <v>0</v>
      </c>
      <c r="AI266" s="1590"/>
      <c r="AJ266" s="1590"/>
      <c r="AK266" s="1590"/>
      <c r="AL266" s="1590">
        <v>0</v>
      </c>
      <c r="AM266" s="236"/>
      <c r="AN266" s="66"/>
      <c r="AQ266" s="66"/>
      <c r="AR266" s="66"/>
      <c r="AS266" s="66"/>
      <c r="AT266" s="66"/>
      <c r="AU266" s="1590"/>
      <c r="AV266" s="1590"/>
      <c r="AW266" s="1590"/>
      <c r="AX266" s="1590"/>
      <c r="AY266" s="1590"/>
      <c r="BA266" s="1590">
        <f>IF(D266=BA$261,AB266,0)</f>
        <v>0</v>
      </c>
      <c r="BB266" s="1590"/>
      <c r="BC266" s="1590"/>
      <c r="BD266" s="1590"/>
      <c r="BE266" s="1590">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01"/>
      <c r="AC267" s="1601"/>
      <c r="AD267" s="1601"/>
      <c r="AE267" s="1601"/>
      <c r="AF267" s="1601"/>
      <c r="AH267" s="1601">
        <f>SUM(AH262:AL266)</f>
        <v>0</v>
      </c>
      <c r="AI267" s="1601"/>
      <c r="AJ267" s="1601"/>
      <c r="AK267" s="1601"/>
      <c r="AL267" s="1601"/>
      <c r="AM267" s="290"/>
      <c r="AN267" s="205"/>
      <c r="AQ267" s="205"/>
      <c r="AR267" s="205"/>
      <c r="AS267" s="205"/>
      <c r="AT267" s="205"/>
      <c r="AU267" s="1601"/>
      <c r="AV267" s="1601"/>
      <c r="AW267" s="1601"/>
      <c r="AX267" s="1601"/>
      <c r="AY267" s="1601"/>
      <c r="BA267" s="1601">
        <f>SUM(BA262:BE266)</f>
        <v>0</v>
      </c>
      <c r="BB267" s="1601"/>
      <c r="BC267" s="1601"/>
      <c r="BD267" s="1601"/>
      <c r="BE267" s="160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36" t="str">
        <f>IF(Z43="",$D271,Z43)</f>
        <v>Compensazione con certificati esteri</v>
      </c>
      <c r="AI270" s="1636"/>
      <c r="AJ270" s="1636"/>
      <c r="AK270" s="1636"/>
      <c r="AL270" s="1636" t="s">
        <v>22</v>
      </c>
      <c r="AM270" s="289"/>
      <c r="AN270" s="63"/>
      <c r="AQ270" s="63"/>
      <c r="AR270" s="63"/>
      <c r="AS270" s="63"/>
      <c r="AT270" s="63"/>
      <c r="AU270" s="63"/>
      <c r="AV270" s="63"/>
      <c r="AW270" s="63"/>
      <c r="AX270" s="63"/>
      <c r="AY270" s="288"/>
      <c r="BA270" s="1636" t="str">
        <f>IF(AS43="",$D271,AS43)</f>
        <v>Compensazione con certificati esteri</v>
      </c>
      <c r="BB270" s="1636"/>
      <c r="BC270" s="1636"/>
      <c r="BD270" s="1636"/>
      <c r="BE270" s="1636"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Compensazione con certificati esteri</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09">
        <v>29</v>
      </c>
      <c r="AC271" s="1609"/>
      <c r="AD271" s="1609"/>
      <c r="AE271" s="1609"/>
      <c r="AF271" s="1609"/>
      <c r="AH271" s="1609">
        <f>IF(D271=AH$270,AB271,0)</f>
        <v>29</v>
      </c>
      <c r="AI271" s="1609"/>
      <c r="AJ271" s="1609"/>
      <c r="AK271" s="1609"/>
      <c r="AL271" s="1609"/>
      <c r="AM271" s="236"/>
      <c r="AN271" s="66"/>
      <c r="AQ271" s="66"/>
      <c r="AR271" s="66"/>
      <c r="AS271" s="66"/>
      <c r="AT271" s="66"/>
      <c r="AU271" s="1590"/>
      <c r="AV271" s="1590"/>
      <c r="AW271" s="1590"/>
      <c r="AX271" s="1590"/>
      <c r="AY271" s="1590"/>
      <c r="BA271" s="1609">
        <f>IF(D271=BA$270,AB271,0)</f>
        <v>29</v>
      </c>
      <c r="BB271" s="1609"/>
      <c r="BC271" s="1609"/>
      <c r="BD271" s="1609"/>
      <c r="BE271" s="1609"/>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Aliquota della tassa CO2 attualmente in vigore in Svizzera</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38">
        <v>96</v>
      </c>
      <c r="AC272" s="1638"/>
      <c r="AD272" s="1638"/>
      <c r="AE272" s="1638"/>
      <c r="AF272" s="1638"/>
      <c r="AH272" s="1609">
        <f>IF(D272=AH$270,AB272,0)</f>
        <v>0</v>
      </c>
      <c r="AI272" s="1609"/>
      <c r="AJ272" s="1609"/>
      <c r="AK272" s="1609"/>
      <c r="AL272" s="1609"/>
      <c r="AM272" s="236"/>
      <c r="AN272" s="66"/>
      <c r="AQ272" s="66"/>
      <c r="AR272" s="66"/>
      <c r="AS272" s="66"/>
      <c r="AT272" s="66"/>
      <c r="AU272" s="1590"/>
      <c r="AV272" s="1590"/>
      <c r="AW272" s="1590"/>
      <c r="AX272" s="1590"/>
      <c r="AY272" s="1590"/>
      <c r="BA272" s="1609">
        <f>IF(D272=BA$270,AB272,0)</f>
        <v>0</v>
      </c>
      <c r="BB272" s="1609"/>
      <c r="BC272" s="1609"/>
      <c r="BD272" s="1609"/>
      <c r="BE272" s="1609"/>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Costi globali per evitare le emissioni di CO2</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09">
        <v>117</v>
      </c>
      <c r="AC273" s="1609"/>
      <c r="AD273" s="1609"/>
      <c r="AE273" s="1609"/>
      <c r="AF273" s="1609"/>
      <c r="AH273" s="1609">
        <f>IF(D273=AH$270,AB273,0)</f>
        <v>0</v>
      </c>
      <c r="AI273" s="1609"/>
      <c r="AJ273" s="1609"/>
      <c r="AK273" s="1609"/>
      <c r="AL273" s="1609"/>
      <c r="AM273" s="236"/>
      <c r="AN273" s="66"/>
      <c r="AQ273" s="66"/>
      <c r="AR273" s="66"/>
      <c r="AS273" s="66"/>
      <c r="AT273" s="66"/>
      <c r="AU273" s="1590"/>
      <c r="AV273" s="1590"/>
      <c r="AW273" s="1590"/>
      <c r="AX273" s="1590"/>
      <c r="AY273" s="1590"/>
      <c r="BA273" s="1609">
        <f>IF(D273=BA$270,AB273,0)</f>
        <v>0</v>
      </c>
      <c r="BB273" s="1609"/>
      <c r="BC273" s="1609"/>
      <c r="BD273" s="1609"/>
      <c r="BE273" s="1609"/>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01"/>
      <c r="AC274" s="1601"/>
      <c r="AD274" s="1601"/>
      <c r="AE274" s="1601"/>
      <c r="AF274" s="1601"/>
      <c r="AH274" s="1635">
        <f>SUM(AH271:AL273)</f>
        <v>29</v>
      </c>
      <c r="AI274" s="1635"/>
      <c r="AJ274" s="1635"/>
      <c r="AK274" s="1635"/>
      <c r="AL274" s="1635"/>
      <c r="AM274" s="468"/>
      <c r="AN274" s="469"/>
      <c r="AO274" s="470"/>
      <c r="AP274" s="470"/>
      <c r="AQ274" s="469"/>
      <c r="AR274" s="469"/>
      <c r="AS274" s="469"/>
      <c r="AT274" s="469"/>
      <c r="AU274" s="1635"/>
      <c r="AV274" s="1635"/>
      <c r="AW274" s="1635"/>
      <c r="AX274" s="1635"/>
      <c r="AY274" s="1635"/>
      <c r="AZ274" s="470"/>
      <c r="BA274" s="1635">
        <f>SUM(BA271:BE273)</f>
        <v>29</v>
      </c>
      <c r="BB274" s="1635"/>
      <c r="BC274" s="1635"/>
      <c r="BD274" s="1635"/>
      <c r="BE274" s="163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592">
        <f>AA96</f>
        <v>0</v>
      </c>
      <c r="AI277" s="1592"/>
      <c r="AJ277" s="1592"/>
      <c r="AK277" s="1592"/>
      <c r="AL277" s="1592"/>
      <c r="AM277" s="289"/>
      <c r="AN277" s="63"/>
      <c r="AQ277" s="63"/>
      <c r="AR277" s="63"/>
      <c r="AS277" s="63"/>
      <c r="AT277" s="63"/>
      <c r="AU277" s="63"/>
      <c r="AV277" s="63"/>
      <c r="AW277" s="63"/>
      <c r="AX277" s="63"/>
      <c r="AY277" s="288"/>
      <c r="BA277" s="1592">
        <f>AH277</f>
        <v>0</v>
      </c>
      <c r="BB277" s="1592"/>
      <c r="BC277" s="1592"/>
      <c r="BD277" s="1592"/>
      <c r="BE277" s="1592"/>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Supermercato</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590">
        <v>12</v>
      </c>
      <c r="AC278" s="1590"/>
      <c r="AD278" s="1590"/>
      <c r="AE278" s="1590">
        <v>12</v>
      </c>
      <c r="AF278" s="1590"/>
      <c r="AH278" s="1590">
        <f t="shared" ref="AH278:AH284" si="29">IF(D278=AH$277,AB278,0)</f>
        <v>0</v>
      </c>
      <c r="AI278" s="1590"/>
      <c r="AJ278" s="1590"/>
      <c r="AK278" s="1590"/>
      <c r="AL278" s="1590">
        <v>0</v>
      </c>
      <c r="AM278" s="236"/>
      <c r="AN278" s="66"/>
      <c r="AQ278" s="66"/>
      <c r="AR278" s="66"/>
      <c r="AS278" s="66"/>
      <c r="AT278" s="66"/>
      <c r="AU278" s="1590">
        <v>12</v>
      </c>
      <c r="AV278" s="1590"/>
      <c r="AW278" s="1590"/>
      <c r="AX278" s="1590">
        <v>12</v>
      </c>
      <c r="AY278" s="1590"/>
      <c r="BA278" s="1590">
        <f t="shared" ref="BA278:BA284" si="30">IF(D278=BA$277,AB278,0)</f>
        <v>0</v>
      </c>
      <c r="BB278" s="1590"/>
      <c r="BC278" s="1590"/>
      <c r="BD278" s="1590"/>
      <c r="BE278" s="1590">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Industria</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590">
        <v>20</v>
      </c>
      <c r="AC279" s="1590"/>
      <c r="AD279" s="1590"/>
      <c r="AE279" s="1590">
        <v>20</v>
      </c>
      <c r="AF279" s="1590"/>
      <c r="AH279" s="1590">
        <f t="shared" si="29"/>
        <v>0</v>
      </c>
      <c r="AI279" s="1590"/>
      <c r="AJ279" s="1590"/>
      <c r="AK279" s="1590"/>
      <c r="AL279" s="1590">
        <v>0</v>
      </c>
      <c r="AM279" s="236"/>
      <c r="AN279" s="66"/>
      <c r="AQ279" s="66"/>
      <c r="AR279" s="66"/>
      <c r="AS279" s="66"/>
      <c r="AT279" s="66"/>
      <c r="AU279" s="1590">
        <v>20</v>
      </c>
      <c r="AV279" s="1590"/>
      <c r="AW279" s="1590"/>
      <c r="AX279" s="1590">
        <v>20</v>
      </c>
      <c r="AY279" s="1590"/>
      <c r="BA279" s="1590">
        <f t="shared" si="30"/>
        <v>0</v>
      </c>
      <c r="BB279" s="1590"/>
      <c r="BC279" s="1590"/>
      <c r="BD279" s="1590"/>
      <c r="BE279" s="1590">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Industria (raffreddatori di liquidi per freddo di processo)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40">
        <v>20</v>
      </c>
      <c r="AC280" s="1640"/>
      <c r="AD280" s="1640"/>
      <c r="AE280" s="1640">
        <v>20</v>
      </c>
      <c r="AF280" s="1640"/>
      <c r="AH280" s="1590">
        <f t="shared" ref="AH280" si="31">IF(D280=AH$277,AB280,0)</f>
        <v>0</v>
      </c>
      <c r="AI280" s="1590"/>
      <c r="AJ280" s="1590"/>
      <c r="AK280" s="1590"/>
      <c r="AL280" s="1590">
        <v>0</v>
      </c>
      <c r="AM280" s="236"/>
      <c r="AN280" s="66"/>
      <c r="AQ280" s="66"/>
      <c r="AR280" s="66"/>
      <c r="AS280" s="66"/>
      <c r="AT280" s="66"/>
      <c r="AU280" s="1640">
        <v>20</v>
      </c>
      <c r="AV280" s="1640"/>
      <c r="AW280" s="1640"/>
      <c r="AX280" s="1640">
        <v>20</v>
      </c>
      <c r="AY280" s="1640"/>
      <c r="BA280" s="1590">
        <f t="shared" ref="BA280" si="32">IF(D280=BA$277,AB280,0)</f>
        <v>0</v>
      </c>
      <c r="BB280" s="1590"/>
      <c r="BC280" s="1590"/>
      <c r="BD280" s="1590"/>
      <c r="BE280" s="1590">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Commercio</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590">
        <v>15</v>
      </c>
      <c r="AC281" s="1590"/>
      <c r="AD281" s="1590"/>
      <c r="AE281" s="1590">
        <v>15</v>
      </c>
      <c r="AF281" s="1590"/>
      <c r="AH281" s="1590">
        <f t="shared" si="29"/>
        <v>0</v>
      </c>
      <c r="AI281" s="1590"/>
      <c r="AJ281" s="1590"/>
      <c r="AK281" s="1590"/>
      <c r="AL281" s="1590">
        <v>0</v>
      </c>
      <c r="AM281" s="236"/>
      <c r="AN281" s="66"/>
      <c r="AQ281" s="66"/>
      <c r="AR281" s="66"/>
      <c r="AS281" s="66"/>
      <c r="AT281" s="66"/>
      <c r="AU281" s="1590">
        <v>15</v>
      </c>
      <c r="AV281" s="1590"/>
      <c r="AW281" s="1590"/>
      <c r="AX281" s="1590">
        <v>15</v>
      </c>
      <c r="AY281" s="1590"/>
      <c r="BA281" s="1590">
        <f t="shared" si="30"/>
        <v>0</v>
      </c>
      <c r="BB281" s="1590"/>
      <c r="BC281" s="1590"/>
      <c r="BD281" s="1590"/>
      <c r="BE281" s="1590">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Refrigeratore-climatizzatore vaporizzazione diretta (sistemi VRV, VRF)</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590">
        <v>15</v>
      </c>
      <c r="AC282" s="1590"/>
      <c r="AD282" s="1590"/>
      <c r="AE282" s="1590">
        <v>15</v>
      </c>
      <c r="AF282" s="1590"/>
      <c r="AH282" s="1590">
        <f t="shared" si="29"/>
        <v>0</v>
      </c>
      <c r="AI282" s="1590"/>
      <c r="AJ282" s="1590"/>
      <c r="AK282" s="1590"/>
      <c r="AL282" s="1590">
        <v>0</v>
      </c>
      <c r="AM282" s="236"/>
      <c r="AN282" s="66"/>
      <c r="AQ282" s="66"/>
      <c r="AR282" s="66"/>
      <c r="AS282" s="66"/>
      <c r="AT282" s="66"/>
      <c r="AU282" s="1590">
        <v>15</v>
      </c>
      <c r="AV282" s="1590"/>
      <c r="AW282" s="1590"/>
      <c r="AX282" s="1590">
        <v>15</v>
      </c>
      <c r="AY282" s="1590"/>
      <c r="BA282" s="1590">
        <f t="shared" si="30"/>
        <v>0</v>
      </c>
      <c r="BB282" s="1590"/>
      <c r="BC282" s="1590"/>
      <c r="BD282" s="1590"/>
      <c r="BE282" s="1590">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Refrigeratore-climatizzatore (refrigeratori condensazione ad acqua)</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590">
        <v>15</v>
      </c>
      <c r="AC283" s="1590"/>
      <c r="AD283" s="1590"/>
      <c r="AE283" s="1590">
        <v>15</v>
      </c>
      <c r="AF283" s="1590"/>
      <c r="AH283" s="1590">
        <f t="shared" si="29"/>
        <v>0</v>
      </c>
      <c r="AI283" s="1590"/>
      <c r="AJ283" s="1590"/>
      <c r="AK283" s="1590"/>
      <c r="AL283" s="1590">
        <v>0</v>
      </c>
      <c r="AM283" s="236"/>
      <c r="AN283" s="66"/>
      <c r="AQ283" s="66"/>
      <c r="AR283" s="66"/>
      <c r="AS283" s="66"/>
      <c r="AT283" s="66"/>
      <c r="AU283" s="1590">
        <v>15</v>
      </c>
      <c r="AV283" s="1590"/>
      <c r="AW283" s="1590"/>
      <c r="AX283" s="1590">
        <v>15</v>
      </c>
      <c r="AY283" s="1590"/>
      <c r="BA283" s="1590">
        <f>IF(D283=BA$277,AB283,0)</f>
        <v>0</v>
      </c>
      <c r="BB283" s="1590"/>
      <c r="BC283" s="1590"/>
      <c r="BD283" s="1590"/>
      <c r="BE283" s="1590">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Refrigeratore-climatizzatore (refrigeratori condensazione ad aria)</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590">
        <v>15</v>
      </c>
      <c r="AC284" s="1590"/>
      <c r="AD284" s="1590"/>
      <c r="AE284" s="1590">
        <v>15</v>
      </c>
      <c r="AF284" s="1590"/>
      <c r="AH284" s="1590">
        <f t="shared" si="29"/>
        <v>0</v>
      </c>
      <c r="AI284" s="1590"/>
      <c r="AJ284" s="1590"/>
      <c r="AK284" s="1590"/>
      <c r="AL284" s="1590">
        <v>0</v>
      </c>
      <c r="AM284" s="236"/>
      <c r="AN284" s="66"/>
      <c r="AQ284" s="66"/>
      <c r="AR284" s="66"/>
      <c r="AS284" s="66"/>
      <c r="AT284" s="66"/>
      <c r="AU284" s="1590">
        <v>15</v>
      </c>
      <c r="AV284" s="1590"/>
      <c r="AW284" s="1590"/>
      <c r="AX284" s="1590">
        <v>15</v>
      </c>
      <c r="AY284" s="1590"/>
      <c r="BA284" s="1590">
        <f t="shared" si="30"/>
        <v>0</v>
      </c>
      <c r="BB284" s="1590"/>
      <c r="BC284" s="1590"/>
      <c r="BD284" s="1590"/>
      <c r="BE284" s="1590">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01"/>
      <c r="AC285" s="1601"/>
      <c r="AD285" s="1601"/>
      <c r="AE285" s="1601"/>
      <c r="AF285" s="1601"/>
      <c r="AH285" s="1601">
        <f>SUM(AH278:AL284)</f>
        <v>0</v>
      </c>
      <c r="AI285" s="1601"/>
      <c r="AJ285" s="1601"/>
      <c r="AK285" s="1601"/>
      <c r="AL285" s="1601"/>
      <c r="AM285" s="290"/>
      <c r="AN285" s="205"/>
      <c r="AQ285" s="205"/>
      <c r="AR285" s="205"/>
      <c r="AS285" s="205"/>
      <c r="AT285" s="205"/>
      <c r="AU285" s="1601"/>
      <c r="AV285" s="1601"/>
      <c r="AW285" s="1601"/>
      <c r="AX285" s="1601"/>
      <c r="AY285" s="1601"/>
      <c r="BA285" s="1601">
        <f>SUM(BA278:BE284)</f>
        <v>0</v>
      </c>
      <c r="BB285" s="1601"/>
      <c r="BC285" s="1601"/>
      <c r="BD285" s="1601"/>
      <c r="BE285" s="160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Montaggio sul posto</v>
      </c>
      <c r="P292"/>
      <c r="Q292"/>
      <c r="R292"/>
      <c r="S292"/>
      <c r="T292"/>
      <c r="U292"/>
      <c r="V292"/>
      <c r="W292" s="639" t="str">
        <f>D221</f>
        <v>Pronto di fabbrica</v>
      </c>
      <c r="X292"/>
      <c r="Y292"/>
      <c r="Z292"/>
      <c r="AA292"/>
      <c r="AB292"/>
      <c r="AC292"/>
      <c r="AD292"/>
      <c r="AE292" s="639" t="str">
        <f>D222</f>
        <v>Pronto di fabbrica, ermetico</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Supermercato</v>
      </c>
      <c r="P293" s="640" t="str">
        <f>D190</f>
        <v>Industria</v>
      </c>
      <c r="Q293" s="1152" t="str">
        <f>D191</f>
        <v xml:space="preserve">Industria (raffreddatori di liquidi per freddo di processo) </v>
      </c>
      <c r="R293" s="640" t="str">
        <f>D192</f>
        <v>Commercio</v>
      </c>
      <c r="S293" s="640" t="str">
        <f>D193</f>
        <v>Refrigeratore-climatizzatore vaporizzazione diretta (sistemi VRV, VRF)</v>
      </c>
      <c r="T293" s="640" t="str">
        <f>D194</f>
        <v>Refrigeratore-climatizzatore (refrigeratori condensazione ad acqua)</v>
      </c>
      <c r="U293" s="640" t="str">
        <f>D195</f>
        <v>Refrigeratore-climatizzatore (refrigeratori condensazione ad aria)</v>
      </c>
      <c r="V293"/>
      <c r="W293" s="631" t="str">
        <f>O293</f>
        <v>Supermercato</v>
      </c>
      <c r="X293" s="631" t="str">
        <f t="shared" ref="X293:Z293" si="33">P293</f>
        <v>Industria</v>
      </c>
      <c r="Y293" s="1150" t="str">
        <f t="shared" si="33"/>
        <v xml:space="preserve">Industria (raffreddatori di liquidi per freddo di processo) </v>
      </c>
      <c r="Z293" s="631" t="str">
        <f t="shared" si="33"/>
        <v>Commercio</v>
      </c>
      <c r="AA293" s="631" t="str">
        <f>S293</f>
        <v>Refrigeratore-climatizzatore vaporizzazione diretta (sistemi VRV, VRF)</v>
      </c>
      <c r="AB293" s="631" t="str">
        <f>T293</f>
        <v>Refrigeratore-climatizzatore (refrigeratori condensazione ad acqua)</v>
      </c>
      <c r="AC293" s="631" t="str">
        <f>U293</f>
        <v>Refrigeratore-climatizzatore (refrigeratori condensazione ad aria)</v>
      </c>
      <c r="AD293"/>
      <c r="AE293" s="631" t="str">
        <f>O293</f>
        <v>Supermercato</v>
      </c>
      <c r="AF293" s="631" t="str">
        <f t="shared" ref="AF293:AG293" si="34">P293</f>
        <v>Industria</v>
      </c>
      <c r="AG293" s="1150" t="str">
        <f t="shared" si="34"/>
        <v xml:space="preserve">Industria (raffreddatori di liquidi per freddo di processo) </v>
      </c>
      <c r="AH293" s="631" t="str">
        <f>R293</f>
        <v>Commercio</v>
      </c>
      <c r="AI293" s="631" t="str">
        <f>S293</f>
        <v>Refrigeratore-climatizzatore vaporizzazione diretta (sistemi VRV, VRF)</v>
      </c>
      <c r="AJ293" s="631" t="str">
        <f>T293</f>
        <v>Refrigeratore-climatizzatore (refrigeratori condensazione ad acqua)</v>
      </c>
      <c r="AK293" s="631" t="str">
        <f>U293</f>
        <v>Refrigeratore-climatizzatore (refrigeratori condensazione ad aria)</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Supermercato</v>
      </c>
      <c r="P327" s="645" t="str">
        <f t="shared" si="49"/>
        <v>Industria</v>
      </c>
      <c r="Q327" s="1141" t="str">
        <f t="shared" si="49"/>
        <v xml:space="preserve">Industria (raffreddatori di liquidi per freddo di processo) </v>
      </c>
      <c r="R327" s="645" t="str">
        <f t="shared" si="49"/>
        <v>Commercio</v>
      </c>
      <c r="S327" s="645" t="str">
        <f t="shared" si="49"/>
        <v>Refrigeratore-climatizzatore vaporizzazione diretta (sistemi VRV, VRF)</v>
      </c>
      <c r="T327" s="645" t="str">
        <f t="shared" si="49"/>
        <v>Refrigeratore-climatizzatore (refrigeratori condensazione ad acqua)</v>
      </c>
      <c r="U327" s="645" t="str">
        <f t="shared" si="49"/>
        <v>Refrigeratore-climatizzatore (refrigeratori condensazione ad aria)</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593">
        <f>IF(O369=0,1,O369)</f>
        <v>1</v>
      </c>
      <c r="L369" s="1593"/>
      <c r="M369" s="1593"/>
      <c r="O369" s="1604">
        <f>SUM(O377:AK404)</f>
        <v>0</v>
      </c>
      <c r="P369" s="1605"/>
      <c r="Q369" s="1605"/>
      <c r="R369" s="1605"/>
      <c r="S369" s="1605"/>
      <c r="T369" s="1605"/>
      <c r="U369" s="1605"/>
      <c r="V369" s="1605"/>
      <c r="W369" s="1605"/>
      <c r="X369" s="1605"/>
      <c r="Y369" s="1605"/>
      <c r="Z369" s="1605"/>
      <c r="AA369" s="1605"/>
      <c r="AB369" s="1605"/>
      <c r="AC369" s="1605"/>
      <c r="AD369" s="1605"/>
      <c r="AE369" s="1605"/>
      <c r="AF369" s="1605"/>
      <c r="AG369" s="1605"/>
      <c r="AH369" s="1606"/>
      <c r="AK369" s="1593"/>
      <c r="AL369" s="1593"/>
      <c r="AM369" s="1593"/>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594">
        <f>IF(AK370&gt;0,AK370,0)</f>
        <v>0</v>
      </c>
      <c r="L370" s="1594"/>
      <c r="M370" s="1594"/>
      <c r="O370" s="533"/>
      <c r="P370" s="533"/>
      <c r="Q370" s="533"/>
      <c r="R370" s="533"/>
      <c r="S370" s="533"/>
      <c r="T370" s="533"/>
      <c r="U370" s="533"/>
      <c r="V370" s="533"/>
      <c r="W370" s="533"/>
      <c r="X370" s="533"/>
      <c r="Y370" s="533"/>
      <c r="Z370" s="533"/>
      <c r="AA370" s="533"/>
      <c r="AB370" s="533"/>
      <c r="AK370" s="1604">
        <f>SUM(AN377:AT404)</f>
        <v>0</v>
      </c>
      <c r="AL370" s="1605"/>
      <c r="AM370" s="1605"/>
      <c r="AN370" s="1605"/>
      <c r="AO370" s="1605"/>
      <c r="AP370" s="1606"/>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Montaggio sul posto</v>
      </c>
      <c r="P374" s="27" t="str">
        <f>O374</f>
        <v>Montaggio sul posto</v>
      </c>
      <c r="Q374" s="27" t="str">
        <f>P374</f>
        <v>Montaggio sul posto</v>
      </c>
      <c r="R374" s="27" t="str">
        <f>P374</f>
        <v>Montaggio sul posto</v>
      </c>
      <c r="S374" s="27" t="str">
        <f t="shared" ref="S374:U374" si="53">R374</f>
        <v>Montaggio sul posto</v>
      </c>
      <c r="T374" s="27" t="str">
        <f t="shared" si="53"/>
        <v>Montaggio sul posto</v>
      </c>
      <c r="U374" s="27" t="str">
        <f t="shared" si="53"/>
        <v>Montaggio sul posto</v>
      </c>
      <c r="V374" t="s">
        <v>957</v>
      </c>
      <c r="W374" t="str">
        <f>W292</f>
        <v>Pronto di fabbrica</v>
      </c>
      <c r="X374" s="27" t="str">
        <f>W374</f>
        <v>Pronto di fabbrica</v>
      </c>
      <c r="Y374" s="27" t="str">
        <f>X374</f>
        <v>Pronto di fabbrica</v>
      </c>
      <c r="Z374" s="27" t="str">
        <f>X374</f>
        <v>Pronto di fabbrica</v>
      </c>
      <c r="AA374" s="27" t="str">
        <f t="shared" ref="AA374:AC374" si="54">Z374</f>
        <v>Pronto di fabbrica</v>
      </c>
      <c r="AB374" s="27" t="str">
        <f t="shared" si="54"/>
        <v>Pronto di fabbrica</v>
      </c>
      <c r="AC374" s="27" t="str">
        <f t="shared" si="54"/>
        <v>Pronto di fabbrica</v>
      </c>
      <c r="AD374" t="s">
        <v>957</v>
      </c>
      <c r="AE374" t="str">
        <f>AE292</f>
        <v>Pronto di fabbrica, ermetico</v>
      </c>
      <c r="AF374" s="27" t="str">
        <f>AE374</f>
        <v>Pronto di fabbrica, ermetico</v>
      </c>
      <c r="AG374" s="27" t="str">
        <f>AF374</f>
        <v>Pronto di fabbrica, ermetico</v>
      </c>
      <c r="AH374" s="27" t="str">
        <f>AF374</f>
        <v>Pronto di fabbrica, ermetico</v>
      </c>
      <c r="AI374" s="27" t="str">
        <f t="shared" ref="AI374:AK374" si="55">AH374</f>
        <v>Pronto di fabbrica, ermetico</v>
      </c>
      <c r="AJ374" s="27" t="str">
        <f t="shared" si="55"/>
        <v>Pronto di fabbrica, ermetico</v>
      </c>
      <c r="AK374" s="27" t="str">
        <f t="shared" si="55"/>
        <v>Pronto di fabbrica, ermetico</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Supermercato</v>
      </c>
      <c r="P375" s="631" t="str">
        <f t="shared" ref="P375:Q375" si="56">P293</f>
        <v>Industria</v>
      </c>
      <c r="Q375" s="1150" t="str">
        <f t="shared" si="56"/>
        <v xml:space="preserve">Industria (raffreddatori di liquidi per freddo di processo) </v>
      </c>
      <c r="R375" s="631" t="str">
        <f>R293</f>
        <v>Commercio</v>
      </c>
      <c r="S375" s="631" t="str">
        <f>S293</f>
        <v>Refrigeratore-climatizzatore vaporizzazione diretta (sistemi VRV, VRF)</v>
      </c>
      <c r="T375" s="631" t="str">
        <f>T293</f>
        <v>Refrigeratore-climatizzatore (refrigeratori condensazione ad acqua)</v>
      </c>
      <c r="U375" s="631" t="str">
        <f>U293</f>
        <v>Refrigeratore-climatizzatore (refrigeratori condensazione ad aria)</v>
      </c>
      <c r="V375" s="630"/>
      <c r="W375" s="631" t="str">
        <f t="shared" ref="W375:AC375" si="57">O375</f>
        <v>Supermercato</v>
      </c>
      <c r="X375" s="631" t="str">
        <f t="shared" si="57"/>
        <v>Industria</v>
      </c>
      <c r="Y375" s="1150" t="str">
        <f t="shared" si="57"/>
        <v xml:space="preserve">Industria (raffreddatori di liquidi per freddo di processo) </v>
      </c>
      <c r="Z375" s="631" t="str">
        <f t="shared" si="57"/>
        <v>Commercio</v>
      </c>
      <c r="AA375" s="631" t="str">
        <f t="shared" si="57"/>
        <v>Refrigeratore-climatizzatore vaporizzazione diretta (sistemi VRV, VRF)</v>
      </c>
      <c r="AB375" s="631" t="str">
        <f t="shared" si="57"/>
        <v>Refrigeratore-climatizzatore (refrigeratori condensazione ad acqua)</v>
      </c>
      <c r="AC375" s="631" t="str">
        <f t="shared" si="57"/>
        <v>Refrigeratore-climatizzatore (refrigeratori condensazione ad aria)</v>
      </c>
      <c r="AD375" s="630"/>
      <c r="AE375" s="631" t="str">
        <f t="shared" ref="AE375:AK375" si="58">O375</f>
        <v>Supermercato</v>
      </c>
      <c r="AF375" s="631" t="str">
        <f t="shared" si="58"/>
        <v>Industria</v>
      </c>
      <c r="AG375" s="1150" t="str">
        <f t="shared" si="58"/>
        <v xml:space="preserve">Industria (raffreddatori di liquidi per freddo di processo) </v>
      </c>
      <c r="AH375" s="631" t="str">
        <f t="shared" si="58"/>
        <v>Commercio</v>
      </c>
      <c r="AI375" s="631" t="str">
        <f t="shared" si="58"/>
        <v>Refrigeratore-climatizzatore vaporizzazione diretta (sistemi VRV, VRF)</v>
      </c>
      <c r="AJ375" s="631" t="str">
        <f t="shared" si="58"/>
        <v>Refrigeratore-climatizzatore (refrigeratori condensazione ad acqua)</v>
      </c>
      <c r="AK375" s="631" t="str">
        <f t="shared" si="58"/>
        <v>Refrigeratore-climatizzatore (refrigeratori condensazione ad aria)</v>
      </c>
      <c r="AL375"/>
      <c r="AM375"/>
      <c r="AN375" s="631" t="str">
        <f t="shared" ref="AN375:AT375" si="59">W375</f>
        <v>Supermercato</v>
      </c>
      <c r="AO375" s="631" t="str">
        <f t="shared" si="59"/>
        <v>Industria</v>
      </c>
      <c r="AP375" s="1150" t="str">
        <f t="shared" si="59"/>
        <v xml:space="preserve">Industria (raffreddatori di liquidi per freddo di processo) </v>
      </c>
      <c r="AQ375" s="631" t="str">
        <f t="shared" si="59"/>
        <v>Commercio</v>
      </c>
      <c r="AR375" s="631" t="str">
        <f t="shared" si="59"/>
        <v>Refrigeratore-climatizzatore vaporizzazione diretta (sistemi VRV, VRF)</v>
      </c>
      <c r="AS375" s="631" t="str">
        <f t="shared" si="59"/>
        <v>Refrigeratore-climatizzatore (refrigeratori condensazione ad acqua)</v>
      </c>
      <c r="AT375" s="631" t="str">
        <f t="shared" si="59"/>
        <v>Refrigeratore-climatizzatore (refrigeratori condensazione ad aria)</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597">
        <f>AS33</f>
        <v>0</v>
      </c>
      <c r="L409" s="1597"/>
      <c r="M409" s="1597"/>
      <c r="N409" s="1597"/>
      <c r="O409" s="1597"/>
      <c r="P409" s="1597"/>
      <c r="Q409" s="1597"/>
      <c r="R409" s="1597"/>
      <c r="S409" s="1597"/>
      <c r="T409" s="1597"/>
      <c r="U409" s="1597"/>
      <c r="V409" s="1597"/>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596">
        <f>AS47</f>
        <v>0</v>
      </c>
      <c r="L410" s="1596"/>
      <c r="M410" s="1596"/>
      <c r="N410" s="1596"/>
      <c r="O410" s="1596"/>
      <c r="P410" s="1596"/>
      <c r="Q410" s="1596"/>
      <c r="R410" s="1596"/>
      <c r="S410" s="1596"/>
      <c r="T410" s="1596"/>
      <c r="U410" s="1596"/>
      <c r="V410" s="1596"/>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595" t="str">
        <f>AS45</f>
        <v/>
      </c>
      <c r="L411" s="1595"/>
      <c r="M411" s="1595"/>
      <c r="N411" s="1595"/>
      <c r="O411" s="1595"/>
      <c r="P411" s="1595"/>
      <c r="Q411" s="1595"/>
      <c r="R411" s="1595"/>
      <c r="S411" s="1595"/>
      <c r="T411" s="1595"/>
      <c r="U411" s="1595"/>
      <c r="V411" s="1595"/>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593">
        <f>IF(O413=0,1,O413)</f>
        <v>1</v>
      </c>
      <c r="L413" s="1593"/>
      <c r="M413" s="1593"/>
      <c r="O413" s="1604">
        <f>SUM(O421:AK447)</f>
        <v>0</v>
      </c>
      <c r="P413" s="1605"/>
      <c r="Q413" s="1605"/>
      <c r="R413" s="1605"/>
      <c r="S413" s="1605"/>
      <c r="T413" s="1605"/>
      <c r="U413" s="1605"/>
      <c r="V413" s="1605"/>
      <c r="W413" s="1605"/>
      <c r="X413" s="1605"/>
      <c r="Y413" s="1605"/>
      <c r="Z413" s="1605"/>
      <c r="AA413" s="1605"/>
      <c r="AB413" s="1605"/>
      <c r="AC413" s="1605"/>
      <c r="AD413" s="1605"/>
      <c r="AE413" s="1605"/>
      <c r="AF413" s="1605"/>
      <c r="AG413" s="1605"/>
      <c r="AH413" s="1606"/>
      <c r="AK413" s="1593"/>
      <c r="AL413" s="1593"/>
      <c r="AM413" s="1593"/>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594">
        <f>IF(AK414&gt;0,AK414,0)</f>
        <v>0</v>
      </c>
      <c r="L414" s="1594"/>
      <c r="M414" s="1594"/>
      <c r="O414" s="533"/>
      <c r="P414" s="533"/>
      <c r="Q414" s="533"/>
      <c r="R414" s="533"/>
      <c r="S414" s="533"/>
      <c r="T414" s="533"/>
      <c r="U414" s="533"/>
      <c r="V414" s="533"/>
      <c r="W414" s="533"/>
      <c r="X414" s="533"/>
      <c r="Y414" s="533"/>
      <c r="Z414" s="533"/>
      <c r="AA414" s="533"/>
      <c r="AB414" s="533"/>
      <c r="AK414" s="1604">
        <f>SUM(AN421:AT447)</f>
        <v>0</v>
      </c>
      <c r="AL414" s="1605"/>
      <c r="AM414" s="1605"/>
      <c r="AN414" s="1605"/>
      <c r="AO414" s="1605"/>
      <c r="AP414" s="1606"/>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Montaggio sul posto</v>
      </c>
      <c r="P418" t="str">
        <f t="shared" si="129"/>
        <v>Montaggio sul posto</v>
      </c>
      <c r="Q418" t="str">
        <f t="shared" si="129"/>
        <v>Montaggio sul posto</v>
      </c>
      <c r="R418" t="str">
        <f t="shared" ref="R418:AK418" si="130">R374</f>
        <v>Montaggio sul posto</v>
      </c>
      <c r="S418" t="str">
        <f t="shared" si="130"/>
        <v>Montaggio sul posto</v>
      </c>
      <c r="T418" t="str">
        <f t="shared" si="130"/>
        <v>Montaggio sul posto</v>
      </c>
      <c r="U418" t="str">
        <f t="shared" si="130"/>
        <v>Montaggio sul posto</v>
      </c>
      <c r="V418" t="str">
        <f t="shared" si="130"/>
        <v>.</v>
      </c>
      <c r="W418" t="str">
        <f t="shared" si="130"/>
        <v>Pronto di fabbrica</v>
      </c>
      <c r="X418" t="str">
        <f t="shared" si="130"/>
        <v>Pronto di fabbrica</v>
      </c>
      <c r="Y418" t="str">
        <f t="shared" si="130"/>
        <v>Pronto di fabbrica</v>
      </c>
      <c r="Z418" t="str">
        <f t="shared" si="130"/>
        <v>Pronto di fabbrica</v>
      </c>
      <c r="AA418" t="str">
        <f t="shared" si="130"/>
        <v>Pronto di fabbrica</v>
      </c>
      <c r="AB418" t="str">
        <f t="shared" si="130"/>
        <v>Pronto di fabbrica</v>
      </c>
      <c r="AC418" t="str">
        <f t="shared" si="130"/>
        <v>Pronto di fabbrica</v>
      </c>
      <c r="AD418" t="str">
        <f t="shared" si="130"/>
        <v>.</v>
      </c>
      <c r="AE418" t="str">
        <f t="shared" si="130"/>
        <v>Pronto di fabbrica, ermetico</v>
      </c>
      <c r="AF418" t="str">
        <f t="shared" si="130"/>
        <v>Pronto di fabbrica, ermetico</v>
      </c>
      <c r="AG418" t="str">
        <f t="shared" si="130"/>
        <v>Pronto di fabbrica, ermetico</v>
      </c>
      <c r="AH418" t="str">
        <f t="shared" si="130"/>
        <v>Pronto di fabbrica, ermetico</v>
      </c>
      <c r="AI418" t="str">
        <f t="shared" si="130"/>
        <v>Pronto di fabbrica, ermetico</v>
      </c>
      <c r="AJ418" t="str">
        <f t="shared" si="130"/>
        <v>Pronto di fabbrica, ermetico</v>
      </c>
      <c r="AK418" t="str">
        <f t="shared" si="130"/>
        <v>Pronto di fabbrica, ermetico</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Supermercato</v>
      </c>
      <c r="P419" s="657" t="str">
        <f t="shared" si="131"/>
        <v>Industria</v>
      </c>
      <c r="Q419" s="1148" t="str">
        <f>Q375</f>
        <v xml:space="preserve">Industria (raffreddatori di liquidi per freddo di processo) </v>
      </c>
      <c r="R419" s="657" t="str">
        <f t="shared" si="131"/>
        <v>Commercio</v>
      </c>
      <c r="S419" s="657" t="str">
        <f>S375</f>
        <v>Refrigeratore-climatizzatore vaporizzazione diretta (sistemi VRV, VRF)</v>
      </c>
      <c r="T419" s="657" t="str">
        <f>T375</f>
        <v>Refrigeratore-climatizzatore (refrigeratori condensazione ad acqua)</v>
      </c>
      <c r="U419" s="657" t="str">
        <f>U375</f>
        <v>Refrigeratore-climatizzatore (refrigeratori condensazione ad aria)</v>
      </c>
      <c r="V419" s="620"/>
      <c r="W419" s="657" t="str">
        <f t="shared" ref="W419:AC419" si="132">O419</f>
        <v>Supermercato</v>
      </c>
      <c r="X419" s="657" t="str">
        <f t="shared" si="132"/>
        <v>Industria</v>
      </c>
      <c r="Y419" s="1148" t="str">
        <f t="shared" si="132"/>
        <v xml:space="preserve">Industria (raffreddatori di liquidi per freddo di processo) </v>
      </c>
      <c r="Z419" s="657" t="str">
        <f t="shared" si="132"/>
        <v>Commercio</v>
      </c>
      <c r="AA419" s="657" t="str">
        <f t="shared" si="132"/>
        <v>Refrigeratore-climatizzatore vaporizzazione diretta (sistemi VRV, VRF)</v>
      </c>
      <c r="AB419" s="657" t="str">
        <f t="shared" si="132"/>
        <v>Refrigeratore-climatizzatore (refrigeratori condensazione ad acqua)</v>
      </c>
      <c r="AC419" s="657" t="str">
        <f t="shared" si="132"/>
        <v>Refrigeratore-climatizzatore (refrigeratori condensazione ad aria)</v>
      </c>
      <c r="AD419" s="620"/>
      <c r="AE419" s="657" t="str">
        <f>O419</f>
        <v>Supermercato</v>
      </c>
      <c r="AF419" s="657" t="str">
        <f>P419</f>
        <v>Industria</v>
      </c>
      <c r="AG419" s="1148" t="str">
        <f t="shared" ref="AG419:AH419" si="133">Q419</f>
        <v xml:space="preserve">Industria (raffreddatori di liquidi per freddo di processo) </v>
      </c>
      <c r="AH419" s="657" t="str">
        <f t="shared" si="133"/>
        <v>Commercio</v>
      </c>
      <c r="AI419" s="657" t="str">
        <f>S419</f>
        <v>Refrigeratore-climatizzatore vaporizzazione diretta (sistemi VRV, VRF)</v>
      </c>
      <c r="AJ419" s="657" t="str">
        <f>T419</f>
        <v>Refrigeratore-climatizzatore (refrigeratori condensazione ad acqua)</v>
      </c>
      <c r="AK419" s="657" t="str">
        <f>U419</f>
        <v>Refrigeratore-climatizzatore (refrigeratori condensazione ad aria)</v>
      </c>
      <c r="AL419"/>
      <c r="AM419"/>
      <c r="AN419" s="657" t="str">
        <f t="shared" ref="AN419:AT419" si="134">W419</f>
        <v>Supermercato</v>
      </c>
      <c r="AO419" s="657" t="str">
        <f t="shared" si="134"/>
        <v>Industria</v>
      </c>
      <c r="AP419" s="1148" t="str">
        <f t="shared" si="134"/>
        <v xml:space="preserve">Industria (raffreddatori di liquidi per freddo di processo) </v>
      </c>
      <c r="AQ419" s="657" t="str">
        <f t="shared" si="134"/>
        <v>Commercio</v>
      </c>
      <c r="AR419" s="657" t="str">
        <f t="shared" si="134"/>
        <v>Refrigeratore-climatizzatore vaporizzazione diretta (sistemi VRV, VRF)</v>
      </c>
      <c r="AS419" s="657" t="str">
        <f t="shared" si="134"/>
        <v>Refrigeratore-climatizzatore (refrigeratori condensazione ad acqua)</v>
      </c>
      <c r="AT419" s="657" t="str">
        <f t="shared" si="134"/>
        <v>Refrigeratore-climatizzatore (refrigeratori condensazione ad aria)</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Autocisterna</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Franchi</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Nome del prodotto elettrico</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inserire i valori sotto</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Inserire valore</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Sì</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No</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599" t="str">
        <f>E54</f>
        <v>keine Wärmenutzung</v>
      </c>
      <c r="AI465" s="1600"/>
      <c r="AJ465" s="1600"/>
      <c r="AK465" s="1600"/>
      <c r="AL465" s="1600"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Riscaldamento ad olio (olio da riscaldamento extra leggero)</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598">
        <v>0.26500000000000001</v>
      </c>
      <c r="AC466" s="1598"/>
      <c r="AD466" s="1598"/>
      <c r="AE466" s="1598"/>
      <c r="AF466" s="1598"/>
      <c r="AH466" s="1598">
        <f t="shared" ref="AH466:AH472" si="207">IF(D466=AH$465,AB466,0)</f>
        <v>0</v>
      </c>
      <c r="AI466" s="1598"/>
      <c r="AJ466" s="1598"/>
      <c r="AK466" s="1598"/>
      <c r="AL466" s="1598">
        <v>0</v>
      </c>
      <c r="AM466" s="185"/>
      <c r="AN466" s="34"/>
      <c r="AQ466" s="1222" t="s">
        <v>888</v>
      </c>
      <c r="AR466" s="1222"/>
      <c r="AS466" s="1222"/>
      <c r="AT466" s="1222"/>
      <c r="AU466" s="1222"/>
      <c r="AV466" s="1222"/>
      <c r="AW466" s="1222"/>
      <c r="AX466" s="1222"/>
      <c r="AY466" s="1222"/>
      <c r="AZ466" s="1222"/>
      <c r="BA466" s="1222"/>
      <c r="BB466" s="1222"/>
      <c r="BC466" s="1222"/>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Riscaldamento a gas naturale</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590">
        <v>0.20300000000000001</v>
      </c>
      <c r="AC467" s="1590"/>
      <c r="AD467" s="1590"/>
      <c r="AE467" s="1590"/>
      <c r="AF467" s="1590"/>
      <c r="AH467" s="1598">
        <f t="shared" si="207"/>
        <v>0</v>
      </c>
      <c r="AI467" s="1598"/>
      <c r="AJ467" s="1598"/>
      <c r="AK467" s="1598"/>
      <c r="AL467" s="1598">
        <v>0</v>
      </c>
      <c r="AM467" s="236"/>
      <c r="AN467" s="66"/>
      <c r="AQ467" s="1222"/>
      <c r="AR467" s="1222"/>
      <c r="AS467" s="1222"/>
      <c r="AT467" s="1222"/>
      <c r="AU467" s="1222"/>
      <c r="AV467" s="1222"/>
      <c r="AW467" s="1222"/>
      <c r="AX467" s="1222"/>
      <c r="AY467" s="1222"/>
      <c r="AZ467" s="1222"/>
      <c r="BA467" s="1222"/>
      <c r="BB467" s="1222"/>
      <c r="BC467" s="1222"/>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Riscaldamento a gas naturale con 15% di biogas</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39">
        <f>AB467*0.85</f>
        <v>0.17255000000000001</v>
      </c>
      <c r="AC468" s="1639"/>
      <c r="AD468" s="1639"/>
      <c r="AE468" s="1639"/>
      <c r="AF468" s="1639"/>
      <c r="AH468" s="1598">
        <f t="shared" si="207"/>
        <v>0</v>
      </c>
      <c r="AI468" s="1598"/>
      <c r="AJ468" s="1598"/>
      <c r="AK468" s="1598"/>
      <c r="AL468" s="1598">
        <v>0</v>
      </c>
      <c r="AM468" s="236"/>
      <c r="AN468" s="66"/>
      <c r="AQ468" s="1222"/>
      <c r="AR468" s="1222"/>
      <c r="AS468" s="1222"/>
      <c r="AT468" s="1222"/>
      <c r="AU468" s="1222"/>
      <c r="AV468" s="1222"/>
      <c r="AW468" s="1222"/>
      <c r="AX468" s="1222"/>
      <c r="AY468" s="1222"/>
      <c r="AZ468" s="1222"/>
      <c r="BA468" s="1222"/>
      <c r="BB468" s="1222"/>
      <c r="BC468" s="1222"/>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Riscaldamento a biogas</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590">
        <v>0</v>
      </c>
      <c r="AC469" s="1590"/>
      <c r="AD469" s="1590"/>
      <c r="AE469" s="1590"/>
      <c r="AF469" s="1590"/>
      <c r="AH469" s="1598">
        <f t="shared" si="207"/>
        <v>0</v>
      </c>
      <c r="AI469" s="1598"/>
      <c r="AJ469" s="1598"/>
      <c r="AK469" s="1598"/>
      <c r="AL469" s="1598">
        <v>0</v>
      </c>
      <c r="AM469" s="236"/>
      <c r="AN469" s="66"/>
      <c r="AQ469" s="1222"/>
      <c r="AR469" s="1222"/>
      <c r="AS469" s="1222"/>
      <c r="AT469" s="1222"/>
      <c r="AU469" s="1222"/>
      <c r="AV469" s="1222"/>
      <c r="AW469" s="1222"/>
      <c r="AX469" s="1222"/>
      <c r="AY469" s="1222"/>
      <c r="AZ469" s="1222"/>
      <c r="BA469" s="1222"/>
      <c r="BB469" s="1222"/>
      <c r="BC469" s="1222"/>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Riscaldamento a legna (pellet)</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590">
        <v>0</v>
      </c>
      <c r="AC470" s="1590"/>
      <c r="AD470" s="1590"/>
      <c r="AE470" s="1590"/>
      <c r="AF470" s="1590"/>
      <c r="AH470" s="1598">
        <f t="shared" si="207"/>
        <v>0</v>
      </c>
      <c r="AI470" s="1598"/>
      <c r="AJ470" s="1598"/>
      <c r="AK470" s="1598"/>
      <c r="AL470" s="1598">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Teleriscaldamento</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590">
        <v>0</v>
      </c>
      <c r="AC471" s="1590"/>
      <c r="AD471" s="1590"/>
      <c r="AE471" s="1590"/>
      <c r="AF471" s="1590"/>
      <c r="AH471" s="1598">
        <f t="shared" si="207"/>
        <v>0</v>
      </c>
      <c r="AI471" s="1598"/>
      <c r="AJ471" s="1598"/>
      <c r="AK471" s="1598"/>
      <c r="AL471" s="1598">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Riscaldamento con impianto geotermico</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590">
        <v>0</v>
      </c>
      <c r="AC472" s="1590"/>
      <c r="AD472" s="1590"/>
      <c r="AE472" s="1590"/>
      <c r="AF472" s="1590"/>
      <c r="AH472" s="1598">
        <f t="shared" si="207"/>
        <v>0</v>
      </c>
      <c r="AI472" s="1598"/>
      <c r="AJ472" s="1598"/>
      <c r="AK472" s="1598"/>
      <c r="AL472" s="1598">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01"/>
      <c r="AC473" s="1601"/>
      <c r="AD473" s="1601"/>
      <c r="AE473" s="1601"/>
      <c r="AF473" s="1601"/>
      <c r="AH473" s="1601">
        <f>SUM(AH466:AL472)</f>
        <v>0</v>
      </c>
      <c r="AI473" s="1601"/>
      <c r="AJ473" s="1601"/>
      <c r="AK473" s="1601"/>
      <c r="AL473" s="160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 ref="Z52:AJ52"/>
    <mergeCell ref="AT49:BC49"/>
    <mergeCell ref="AT69:BC69"/>
    <mergeCell ref="AT50:BC50"/>
    <mergeCell ref="D61:BH61"/>
    <mergeCell ref="D62:BH62"/>
    <mergeCell ref="AA73:AJ73"/>
    <mergeCell ref="AA49:AJ49"/>
    <mergeCell ref="AS52:BC52"/>
    <mergeCell ref="AA71:AJ71"/>
    <mergeCell ref="AL71:AO71"/>
    <mergeCell ref="AT71:BC71"/>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74" t="str">
        <f>X!$C$285</f>
        <v>indietro alla panoramica (1)</v>
      </c>
      <c r="F2" s="1574"/>
      <c r="G2" s="1574"/>
      <c r="H2" s="1574"/>
      <c r="I2" s="1574"/>
      <c r="J2" s="1574"/>
      <c r="K2" s="1574"/>
      <c r="L2" s="1574"/>
      <c r="M2" s="1574"/>
      <c r="N2" s="1574"/>
      <c r="O2" s="1574"/>
      <c r="P2" s="1574"/>
      <c r="Q2" s="1574"/>
      <c r="R2" s="688"/>
      <c r="S2" s="688"/>
      <c r="T2" s="688"/>
      <c r="U2" s="689" t="s">
        <v>12</v>
      </c>
      <c r="V2" s="1684" t="str">
        <f>X!$C$287</f>
        <v>ai risultati (5)</v>
      </c>
      <c r="W2" s="1684"/>
      <c r="X2" s="1684"/>
      <c r="Y2" s="1684"/>
      <c r="Z2" s="1684"/>
      <c r="AA2" s="1684"/>
      <c r="AB2" s="1684"/>
      <c r="AC2" s="1684"/>
      <c r="AD2" s="1684"/>
      <c r="AE2" s="1684"/>
      <c r="AF2" s="1684"/>
      <c r="AG2" s="1684"/>
      <c r="AL2" s="70"/>
      <c r="AM2" s="440">
        <f>X!E8</f>
        <v>0</v>
      </c>
      <c r="AN2" s="440">
        <f>X!F8</f>
        <v>0</v>
      </c>
      <c r="AO2" s="440">
        <f>X!G8</f>
        <v>1</v>
      </c>
      <c r="BX2" s="784" t="s">
        <v>609</v>
      </c>
    </row>
    <row r="3" spans="1:140" x14ac:dyDescent="0.15">
      <c r="D3" s="700" t="s">
        <v>0</v>
      </c>
      <c r="E3" s="1574" t="str">
        <f>X!$C$284</f>
        <v>al calcolo TEWI (3)</v>
      </c>
      <c r="F3" s="1574"/>
      <c r="G3" s="1574"/>
      <c r="H3" s="1574"/>
      <c r="I3" s="1574"/>
      <c r="J3" s="1574"/>
      <c r="K3" s="1574"/>
      <c r="L3" s="1574"/>
      <c r="M3" s="1574"/>
      <c r="N3" s="1574"/>
      <c r="O3" s="1574"/>
      <c r="P3" s="1574"/>
      <c r="Q3" s="1574"/>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Efficienza per il freddo</v>
      </c>
      <c r="E9" s="29"/>
      <c r="F9" s="29"/>
      <c r="G9" s="29"/>
      <c r="H9" s="29"/>
      <c r="I9" s="29"/>
      <c r="J9" s="29"/>
      <c r="K9" s="29"/>
      <c r="L9" s="29"/>
      <c r="M9" s="29"/>
      <c r="N9" s="29"/>
      <c r="O9" s="29"/>
      <c r="P9" s="29"/>
      <c r="Q9" s="29"/>
      <c r="R9" s="29"/>
      <c r="S9" s="29"/>
      <c r="T9" s="29"/>
    </row>
    <row r="10" spans="1:140" s="30" customFormat="1" ht="18" customHeight="1" x14ac:dyDescent="0.25">
      <c r="A10" s="785"/>
      <c r="C10" s="389" t="str">
        <f>X!$C$21</f>
        <v>Strumento per prognosi di consumo elettrico, impatto ambientale e costo del ciclo di vita per impianti di refrigerazione e climatizzazione</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Economicità</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45824</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R17" s="1409" t="str">
        <f>'1 System specification'!AO80</f>
        <v>Versione 6.3 (2025): valida fino al 30 maggio 2026</v>
      </c>
      <c r="AS17" s="1409"/>
      <c r="AT17" s="1409"/>
      <c r="AU17" s="1409"/>
      <c r="AV17" s="1409"/>
      <c r="AW17" s="1409"/>
      <c r="AX17" s="1409"/>
      <c r="AY17" s="1409"/>
      <c r="AZ17" s="1409"/>
      <c r="BA17" s="1409"/>
      <c r="BB17" s="1409"/>
      <c r="BC17" s="1409"/>
      <c r="BD17" s="1409"/>
      <c r="BE17" s="1409"/>
      <c r="BF17" s="1409"/>
      <c r="BG17" s="1409"/>
      <c r="BH17" s="1409"/>
      <c r="BI17" s="1409"/>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Inserimenti</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26">
        <f>'1 System specification'!W243</f>
        <v>1</v>
      </c>
      <c r="AT22" s="1426"/>
      <c r="AU22" s="1426"/>
      <c r="AV22" s="1426"/>
      <c r="AW22" s="1426"/>
      <c r="AX22" s="1426"/>
      <c r="AY22" s="1426"/>
      <c r="AZ22" s="1426"/>
      <c r="BA22" s="1426"/>
      <c r="BB22" s="1426"/>
      <c r="BC22" s="1426"/>
      <c r="BD22" s="1426"/>
      <c r="BE22" s="1426"/>
      <c r="BF22" s="1426"/>
      <c r="BG22" s="1426"/>
      <c r="BH22" s="1426"/>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74">
        <f>'1 System specification'!AE249</f>
        <v>0</v>
      </c>
      <c r="W27" s="1674"/>
      <c r="X27" s="1674"/>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74">
        <f>'1 System specification'!AC184</f>
        <v>0</v>
      </c>
      <c r="W28" s="1674"/>
      <c r="X28" s="1674"/>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74">
        <f>'2A Electricity regular'!X112</f>
        <v>2</v>
      </c>
      <c r="W29" s="1674"/>
      <c r="X29" s="1674"/>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74">
        <f>'2A Electricity regular'!X114</f>
        <v>0</v>
      </c>
      <c r="W30" s="1674"/>
      <c r="X30" s="1674"/>
      <c r="Y30" s="107"/>
      <c r="Z30" s="107"/>
      <c r="AA30" s="1675">
        <f>'2A Electricity regular'!AB114</f>
        <v>0</v>
      </c>
      <c r="AB30" s="1675"/>
      <c r="AC30" s="1675"/>
      <c r="AD30" s="1675"/>
      <c r="AE30" s="1675"/>
      <c r="AF30" s="1675"/>
      <c r="AG30" s="1675"/>
      <c r="AH30" s="1675"/>
      <c r="AI30" s="1675"/>
      <c r="AJ30" s="1675"/>
      <c r="AK30" s="1675"/>
      <c r="AL30" s="74"/>
      <c r="AM30" s="74"/>
      <c r="AN30" s="74"/>
      <c r="AO30" s="74"/>
      <c r="AP30" s="74"/>
      <c r="AQ30" s="74"/>
      <c r="AR30" s="106"/>
      <c r="AS30" s="1675">
        <f>'2A Electricity regular'!AZ114</f>
        <v>0</v>
      </c>
      <c r="AT30" s="1675"/>
      <c r="AU30" s="1675"/>
      <c r="AV30" s="1675"/>
      <c r="AW30" s="1675"/>
      <c r="AX30" s="1675"/>
      <c r="AY30" s="1675"/>
      <c r="AZ30" s="1675"/>
      <c r="BA30" s="1675"/>
      <c r="BB30" s="1675"/>
      <c r="BC30" s="1675"/>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74"/>
      <c r="W31" s="1674"/>
      <c r="X31" s="1674"/>
      <c r="Y31" s="107"/>
      <c r="Z31" s="107"/>
      <c r="AA31" s="1675">
        <f>IF('2A Electricity regular'!AB110='2A Electricity regular'!BA495,1,0)</f>
        <v>0</v>
      </c>
      <c r="AB31" s="1675"/>
      <c r="AC31" s="1675"/>
      <c r="AD31" s="1675"/>
      <c r="AE31" s="1675"/>
      <c r="AF31" s="1675"/>
      <c r="AG31" s="1675"/>
      <c r="AH31" s="1675"/>
      <c r="AI31" s="1675"/>
      <c r="AJ31" s="1675"/>
      <c r="AK31" s="1675"/>
      <c r="AL31" s="74"/>
      <c r="AM31" s="74"/>
      <c r="AN31" s="74"/>
      <c r="AO31" s="74"/>
      <c r="AP31" s="74"/>
      <c r="AQ31" s="74"/>
      <c r="AR31" s="106"/>
      <c r="AS31" s="1281">
        <f>IF('2A Electricity regular'!AZ110='2A Electricity regular'!BA495,1,0)</f>
        <v>0</v>
      </c>
      <c r="AT31" s="1288"/>
      <c r="AU31" s="1288"/>
      <c r="AV31" s="1288"/>
      <c r="AW31" s="1288"/>
      <c r="AX31" s="1288"/>
      <c r="AY31" s="1288"/>
      <c r="AZ31" s="1288"/>
      <c r="BA31" s="1288"/>
      <c r="BB31" s="1288"/>
      <c r="BC31" s="1288"/>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74">
        <f>IF(O47=D216,1,0)</f>
        <v>0</v>
      </c>
      <c r="W32" s="1674"/>
      <c r="X32" s="1674"/>
      <c r="Y32" s="107"/>
      <c r="Z32" s="107"/>
      <c r="AA32" s="1675">
        <f>IF(AA33=D224,1,0)</f>
        <v>0</v>
      </c>
      <c r="AB32" s="1675"/>
      <c r="AC32" s="1675"/>
      <c r="AD32" s="1675"/>
      <c r="AE32" s="1675"/>
      <c r="AF32" s="1675"/>
      <c r="AG32" s="1675"/>
      <c r="AH32" s="1675"/>
      <c r="AI32" s="1675"/>
      <c r="AJ32" s="1675"/>
      <c r="AK32" s="1675"/>
      <c r="AL32" s="74"/>
      <c r="AM32" s="74"/>
      <c r="AN32" s="74"/>
      <c r="AO32" s="74"/>
      <c r="AP32" s="74"/>
      <c r="AQ32" s="74"/>
      <c r="AR32" s="106"/>
      <c r="AS32" s="1281">
        <f>IF(AS33=D224,1,0)</f>
        <v>0</v>
      </c>
      <c r="AT32" s="1288"/>
      <c r="AU32" s="1288"/>
      <c r="AV32" s="1288"/>
      <c r="AW32" s="1288"/>
      <c r="AX32" s="1288"/>
      <c r="AY32" s="1288"/>
      <c r="AZ32" s="1288"/>
      <c r="BA32" s="1288"/>
      <c r="BB32" s="1288"/>
      <c r="BC32" s="1288"/>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79" t="str">
        <f>IF('1 System specification'!AA316=0,"--",'1 System specification'!AA316)</f>
        <v>--</v>
      </c>
      <c r="AB33" s="1679"/>
      <c r="AC33" s="1679"/>
      <c r="AD33" s="1679"/>
      <c r="AE33" s="1679"/>
      <c r="AF33" s="1679"/>
      <c r="AG33" s="1679"/>
      <c r="AH33" s="1679"/>
      <c r="AI33" s="1679"/>
      <c r="AJ33" s="1679"/>
      <c r="AK33" s="1679"/>
      <c r="AL33" s="74"/>
      <c r="AM33" s="74"/>
      <c r="AN33" s="74"/>
      <c r="AO33" s="74"/>
      <c r="AP33" s="74"/>
      <c r="AQ33" s="74"/>
      <c r="AR33" s="106"/>
      <c r="AS33" s="1679" t="str">
        <f>IF('1 System specification'!BR316=0,"--",'1 System specification'!BR316)</f>
        <v>--</v>
      </c>
      <c r="AT33" s="1679"/>
      <c r="AU33" s="1679"/>
      <c r="AV33" s="1679"/>
      <c r="AW33" s="1679"/>
      <c r="AX33" s="1679"/>
      <c r="AY33" s="1679"/>
      <c r="AZ33" s="1679"/>
      <c r="BA33" s="1679"/>
      <c r="BB33" s="1679"/>
      <c r="BC33" s="1679"/>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74">
        <f>IF(O48=D217,1,0)</f>
        <v>0</v>
      </c>
      <c r="W34" s="1674"/>
      <c r="X34" s="1674"/>
      <c r="Y34" s="107"/>
      <c r="Z34" s="107"/>
      <c r="AA34" s="1675">
        <f>V34</f>
        <v>0</v>
      </c>
      <c r="AB34" s="1675"/>
      <c r="AC34" s="1675"/>
      <c r="AD34" s="1675"/>
      <c r="AE34" s="1675"/>
      <c r="AF34" s="1675"/>
      <c r="AG34" s="1675"/>
      <c r="AH34" s="1675"/>
      <c r="AI34" s="1675"/>
      <c r="AJ34" s="1675"/>
      <c r="AK34" s="1675"/>
      <c r="AL34" s="74"/>
      <c r="AM34" s="74"/>
      <c r="AN34" s="74"/>
      <c r="AO34" s="74"/>
      <c r="AP34" s="74"/>
      <c r="AQ34" s="74"/>
      <c r="AR34" s="106"/>
      <c r="AS34" s="1281">
        <f>V34</f>
        <v>0</v>
      </c>
      <c r="AT34" s="1288"/>
      <c r="AU34" s="1288"/>
      <c r="AV34" s="1288"/>
      <c r="AW34" s="1288"/>
      <c r="AX34" s="1288"/>
      <c r="AY34" s="1288"/>
      <c r="AZ34" s="1288"/>
      <c r="BA34" s="1288"/>
      <c r="BB34" s="1288"/>
      <c r="BC34" s="1288"/>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74">
        <f>V30-V34</f>
        <v>0</v>
      </c>
      <c r="W35" s="1674"/>
      <c r="X35" s="1674"/>
      <c r="Y35" s="107"/>
      <c r="Z35" s="107"/>
      <c r="AA35" s="1675">
        <f>AA30-AA34</f>
        <v>0</v>
      </c>
      <c r="AB35" s="1675"/>
      <c r="AC35" s="1675"/>
      <c r="AD35" s="1675"/>
      <c r="AE35" s="1675"/>
      <c r="AF35" s="1675"/>
      <c r="AG35" s="1675"/>
      <c r="AH35" s="1675"/>
      <c r="AI35" s="1675"/>
      <c r="AJ35" s="1675"/>
      <c r="AK35" s="1675"/>
      <c r="AL35" s="74"/>
      <c r="AM35" s="74"/>
      <c r="AN35" s="74"/>
      <c r="AO35" s="74"/>
      <c r="AP35" s="74"/>
      <c r="AQ35" s="74"/>
      <c r="AR35" s="106"/>
      <c r="AS35" s="1675">
        <f>AS30-AS34</f>
        <v>0</v>
      </c>
      <c r="AT35" s="1675"/>
      <c r="AU35" s="1675"/>
      <c r="AV35" s="1675"/>
      <c r="AW35" s="1675"/>
      <c r="AX35" s="1675"/>
      <c r="AY35" s="1675"/>
      <c r="AZ35" s="1675"/>
      <c r="BA35" s="1675"/>
      <c r="BB35" s="1675"/>
      <c r="BC35" s="1675"/>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Spese d'investimento</v>
      </c>
      <c r="S37" s="27" t="s">
        <v>209</v>
      </c>
      <c r="AA37" s="1676"/>
      <c r="AB37" s="1676"/>
      <c r="AC37" s="1676"/>
      <c r="AD37" s="1676"/>
      <c r="AE37" s="1676"/>
      <c r="AF37" s="1676"/>
      <c r="AG37" s="1676"/>
      <c r="AH37" s="1676"/>
      <c r="AI37" s="1676"/>
      <c r="AJ37" s="1676"/>
      <c r="AK37" s="1677"/>
      <c r="AL37" s="1120" t="s">
        <v>1702</v>
      </c>
      <c r="AM37" s="437" t="s">
        <v>266</v>
      </c>
      <c r="AN37" s="437" t="s">
        <v>266</v>
      </c>
      <c r="AO37" s="437" t="s">
        <v>266</v>
      </c>
      <c r="AS37" s="1676"/>
      <c r="AT37" s="1676"/>
      <c r="AU37" s="1676"/>
      <c r="AV37" s="1676"/>
      <c r="AW37" s="1676"/>
      <c r="AX37" s="1676"/>
      <c r="AY37" s="1676"/>
      <c r="AZ37" s="1676"/>
      <c r="BA37" s="1676"/>
      <c r="BB37" s="1676"/>
      <c r="BC37" s="1677"/>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Prezzo elettricità</v>
      </c>
      <c r="S39" s="27" t="str">
        <f>X!C294</f>
        <v>ct./kWh</v>
      </c>
      <c r="AA39" s="285">
        <f>AI39</f>
        <v>0</v>
      </c>
      <c r="AB39" s="285"/>
      <c r="AC39" s="285"/>
      <c r="AD39" s="285"/>
      <c r="AE39" s="285"/>
      <c r="AI39" s="1654"/>
      <c r="AJ39" s="1654"/>
      <c r="AK39" s="1655"/>
      <c r="AL39" s="1123" t="s">
        <v>1702</v>
      </c>
      <c r="AM39" s="437" t="s">
        <v>266</v>
      </c>
      <c r="AN39" s="437" t="s">
        <v>266</v>
      </c>
      <c r="AO39" s="437" t="s">
        <v>266</v>
      </c>
      <c r="AS39" s="1678">
        <f>AI39</f>
        <v>0</v>
      </c>
      <c r="AT39" s="1678"/>
      <c r="AU39" s="1678"/>
      <c r="AV39" s="1678"/>
      <c r="AW39" s="1678"/>
      <c r="AX39" s="1678"/>
      <c r="AY39" s="1678"/>
      <c r="AZ39" s="1678"/>
      <c r="BA39" s="1678"/>
      <c r="BB39" s="1678"/>
      <c r="BC39" s="1678"/>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Spese di manutenzione (Inserimento facoltativo)</v>
      </c>
      <c r="AA41" s="1350" t="str">
        <f>CONCATENATE(X!C310,": ",AA33)</f>
        <v>Scambiatore di calore: --</v>
      </c>
      <c r="AB41" s="1350"/>
      <c r="AC41" s="1350"/>
      <c r="AD41" s="1350"/>
      <c r="AE41" s="1350"/>
      <c r="AF41" s="1350"/>
      <c r="AG41" s="1350"/>
      <c r="AH41" s="1350"/>
      <c r="AI41" s="1350"/>
      <c r="AJ41" s="1350"/>
      <c r="AK41" s="1350"/>
      <c r="AM41" s="437" t="s">
        <v>266</v>
      </c>
      <c r="AN41" s="437" t="s">
        <v>266</v>
      </c>
      <c r="AO41" s="437" t="s">
        <v>266</v>
      </c>
      <c r="AS41" s="1350" t="str">
        <f>CONCATENATE(X!C310,": ",AS33)</f>
        <v>Scambiatore di calore: --</v>
      </c>
      <c r="AT41" s="1350"/>
      <c r="AU41" s="1350"/>
      <c r="AV41" s="1350"/>
      <c r="AW41" s="1350"/>
      <c r="AX41" s="1350"/>
      <c r="AY41" s="1350"/>
      <c r="AZ41" s="1350"/>
      <c r="BA41" s="1350"/>
      <c r="BB41" s="1350"/>
      <c r="BC41" s="1350"/>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Preventivo-manutenzione senza materiale</v>
      </c>
      <c r="S43" s="27" t="s">
        <v>46</v>
      </c>
      <c r="AA43" s="1685"/>
      <c r="AB43" s="1685"/>
      <c r="AC43" s="1685"/>
      <c r="AD43" s="1685"/>
      <c r="AE43" s="1685"/>
      <c r="AF43" s="1685"/>
      <c r="AG43" s="1685"/>
      <c r="AH43" s="1685"/>
      <c r="AI43" s="1685"/>
      <c r="AJ43" s="1685"/>
      <c r="AK43" s="1686"/>
      <c r="AM43" s="437" t="s">
        <v>266</v>
      </c>
      <c r="AN43" s="437" t="s">
        <v>266</v>
      </c>
      <c r="AO43" s="437" t="s">
        <v>266</v>
      </c>
      <c r="AS43" s="1685"/>
      <c r="AT43" s="1685"/>
      <c r="AU43" s="1685"/>
      <c r="AV43" s="1685"/>
      <c r="AW43" s="1685"/>
      <c r="AX43" s="1685"/>
      <c r="AY43" s="1685"/>
      <c r="AZ43" s="1685"/>
      <c r="BA43" s="1685"/>
      <c r="BB43" s="1685"/>
      <c r="BC43" s="1686"/>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Servizio completo (materiali inclusi)</v>
      </c>
      <c r="S45" s="27" t="s">
        <v>46</v>
      </c>
      <c r="AA45" s="1685"/>
      <c r="AB45" s="1685"/>
      <c r="AC45" s="1685"/>
      <c r="AD45" s="1685"/>
      <c r="AE45" s="1685"/>
      <c r="AF45" s="1685"/>
      <c r="AG45" s="1685"/>
      <c r="AH45" s="1685"/>
      <c r="AI45" s="1685"/>
      <c r="AJ45" s="1685"/>
      <c r="AK45" s="1686"/>
      <c r="AM45" s="437" t="s">
        <v>266</v>
      </c>
      <c r="AN45" s="437" t="s">
        <v>266</v>
      </c>
      <c r="AO45" s="437" t="s">
        <v>266</v>
      </c>
      <c r="AS45" s="1685"/>
      <c r="AT45" s="1685"/>
      <c r="AU45" s="1685"/>
      <c r="AV45" s="1685"/>
      <c r="AW45" s="1685"/>
      <c r="AX45" s="1685"/>
      <c r="AY45" s="1685"/>
      <c r="AZ45" s="1685"/>
      <c r="BA45" s="1685"/>
      <c r="BB45" s="1685"/>
      <c r="BC45" s="1686"/>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Prezzo dell'energia del calore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Prezzo dell'energia del calore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54"/>
      <c r="AJ50" s="1654"/>
      <c r="AK50" s="1655"/>
      <c r="AL50" s="1123" t="s">
        <v>1702</v>
      </c>
      <c r="AS50" s="285"/>
      <c r="AT50" s="285"/>
      <c r="AU50" s="285"/>
      <c r="AV50" s="285"/>
      <c r="AW50" s="285"/>
      <c r="AX50" s="285"/>
      <c r="AY50" s="285"/>
      <c r="AZ50" s="285"/>
      <c r="BA50" s="1654"/>
      <c r="BB50" s="1654"/>
      <c r="BC50" s="165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70" t="str">
        <f>IF(CF50=1,CONCATENATE("(",AT218," - ",AZ218," ",AB218," )"),"")</f>
        <v/>
      </c>
      <c r="CI50" s="1670"/>
      <c r="CJ50" s="1670"/>
      <c r="CK50" s="1670"/>
      <c r="CL50" s="1670"/>
      <c r="CM50" s="1670"/>
      <c r="CN50" s="1670"/>
      <c r="CO50" s="1670"/>
      <c r="CP50" s="1670"/>
      <c r="CQ50" s="1670"/>
      <c r="CR50" s="1670"/>
      <c r="CS50" s="1670"/>
      <c r="CT50" s="1670"/>
      <c r="CU50" s="1670"/>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91">
        <f>IF(BO50=1,AI50,IF(BO51=1,BA50,0))</f>
        <v>0</v>
      </c>
      <c r="Q52" s="1691"/>
      <c r="R52" s="1691"/>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Risultati (valori arrotondati)</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Vita</v>
      </c>
      <c r="S62" s="416" t="str">
        <f>X!C131</f>
        <v>Anni</v>
      </c>
      <c r="AA62" s="1615">
        <f>'3 TEWI'!AA97</f>
        <v>0</v>
      </c>
      <c r="AB62" s="1615"/>
      <c r="AC62" s="1615"/>
      <c r="AD62" s="1615"/>
      <c r="AE62" s="1615"/>
      <c r="AF62" s="1615"/>
      <c r="AG62" s="1615"/>
      <c r="AH62" s="1615"/>
      <c r="AI62" s="1615"/>
      <c r="AJ62" s="1615"/>
      <c r="AK62" s="1615"/>
      <c r="AM62" s="93"/>
      <c r="AS62" s="1615">
        <f>'3 TEWI'!AT97</f>
        <v>0</v>
      </c>
      <c r="AT62" s="1615"/>
      <c r="AU62" s="1615"/>
      <c r="AV62" s="1615"/>
      <c r="AW62" s="1615"/>
      <c r="AX62" s="1615"/>
      <c r="AY62" s="1615"/>
      <c r="AZ62" s="1615"/>
      <c r="BA62" s="1615"/>
      <c r="BB62" s="1615"/>
      <c r="BC62" s="161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Consumo elettricità</v>
      </c>
      <c r="S63" s="27" t="s">
        <v>20</v>
      </c>
      <c r="AA63" s="1614">
        <f>'1 System specification'!AA267</f>
        <v>0</v>
      </c>
      <c r="AB63" s="1615"/>
      <c r="AC63" s="1615"/>
      <c r="AD63" s="1615"/>
      <c r="AE63" s="1615"/>
      <c r="AF63" s="1615"/>
      <c r="AG63" s="1615"/>
      <c r="AH63" s="1615"/>
      <c r="AI63" s="1615"/>
      <c r="AJ63" s="1615"/>
      <c r="AK63" s="1615"/>
      <c r="AM63" s="437" t="s">
        <v>266</v>
      </c>
      <c r="AN63" s="437" t="s">
        <v>266</v>
      </c>
      <c r="AO63" s="437" t="s">
        <v>266</v>
      </c>
      <c r="AS63" s="1614">
        <f>'1 System specification'!BR267</f>
        <v>0</v>
      </c>
      <c r="AT63" s="1615"/>
      <c r="AU63" s="1615"/>
      <c r="AV63" s="1615"/>
      <c r="AW63" s="1615"/>
      <c r="AX63" s="1615"/>
      <c r="AY63" s="1615"/>
      <c r="AZ63" s="1615"/>
      <c r="BA63" s="1615"/>
      <c r="BB63" s="1615"/>
      <c r="BC63" s="161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Tipo di calcolo</v>
      </c>
      <c r="AA64" s="1615" t="str">
        <f>'1 System specification'!AH267</f>
        <v>Calcolo con il tool del freddo</v>
      </c>
      <c r="AB64" s="1615"/>
      <c r="AC64" s="1615"/>
      <c r="AD64" s="1615"/>
      <c r="AE64" s="1615"/>
      <c r="AF64" s="1615"/>
      <c r="AG64" s="1615"/>
      <c r="AH64" s="1615"/>
      <c r="AI64" s="1615"/>
      <c r="AJ64" s="1615"/>
      <c r="AK64" s="1615"/>
      <c r="AM64" s="93"/>
      <c r="AS64" s="1615" t="str">
        <f>'1 System specification'!BX267</f>
        <v>Calcolo con il tool del freddo</v>
      </c>
      <c r="AT64" s="1615"/>
      <c r="AU64" s="1615"/>
      <c r="AV64" s="1615"/>
      <c r="AW64" s="1615"/>
      <c r="AX64" s="1615"/>
      <c r="AY64" s="1615"/>
      <c r="AZ64" s="1615"/>
      <c r="BA64" s="1615"/>
      <c r="BB64" s="1615"/>
      <c r="BC64" s="161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Prezzo compensazione CO2</v>
      </c>
      <c r="S66" s="27" t="str">
        <f>X!C65</f>
        <v>CHF/ tonnellate CO2</v>
      </c>
      <c r="AA66" s="1662">
        <f>'3 TEWI'!AH274</f>
        <v>29</v>
      </c>
      <c r="AB66" s="1662"/>
      <c r="AC66" s="1662"/>
      <c r="AD66" s="1662"/>
      <c r="AE66" s="1662"/>
      <c r="AF66" s="1662"/>
      <c r="AG66" s="1662"/>
      <c r="AH66" s="1662"/>
      <c r="AI66" s="1662"/>
      <c r="AJ66" s="1662"/>
      <c r="AK66" s="1662"/>
      <c r="AM66" s="93"/>
      <c r="AS66" s="1663">
        <f>'3 TEWI'!BA274</f>
        <v>29</v>
      </c>
      <c r="AT66" s="1663"/>
      <c r="AU66" s="1663"/>
      <c r="AV66" s="1663"/>
      <c r="AW66" s="1663"/>
      <c r="AX66" s="1663"/>
      <c r="AY66" s="1663"/>
      <c r="AZ66" s="1663"/>
      <c r="BA66" s="1663"/>
      <c r="BB66" s="1663"/>
      <c r="BC66" s="1663"/>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Spese di manutenzione</v>
      </c>
      <c r="S68" s="27" t="s">
        <v>72</v>
      </c>
      <c r="AA68" s="1614" t="str">
        <f>AA202</f>
        <v>--</v>
      </c>
      <c r="AB68" s="1615"/>
      <c r="AC68" s="1615"/>
      <c r="AD68" s="1615"/>
      <c r="AE68" s="1615"/>
      <c r="AF68" s="1615"/>
      <c r="AG68" s="1615"/>
      <c r="AH68" s="1615"/>
      <c r="AI68" s="1615"/>
      <c r="AJ68" s="1615"/>
      <c r="AK68" s="1615"/>
      <c r="AM68" s="437" t="s">
        <v>266</v>
      </c>
      <c r="AN68" s="437" t="s">
        <v>266</v>
      </c>
      <c r="AO68" s="437" t="s">
        <v>266</v>
      </c>
      <c r="AS68" s="1615" t="str">
        <f>AS202</f>
        <v>--</v>
      </c>
      <c r="AT68" s="1615"/>
      <c r="AU68" s="1615"/>
      <c r="AV68" s="1615"/>
      <c r="AW68" s="1615"/>
      <c r="AX68" s="1615"/>
      <c r="AY68" s="1615"/>
      <c r="AZ68" s="1615"/>
      <c r="BA68" s="1615"/>
      <c r="BB68" s="1615"/>
      <c r="BC68" s="161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Funzionamento dello scambiatore di calore</v>
      </c>
      <c r="S69" s="27" t="s">
        <v>72</v>
      </c>
      <c r="V69" s="437" t="s">
        <v>266</v>
      </c>
      <c r="W69" s="437" t="s">
        <v>266</v>
      </c>
      <c r="X69" s="437" t="s">
        <v>266</v>
      </c>
      <c r="AA69" s="1662" t="str">
        <f>AA33</f>
        <v>--</v>
      </c>
      <c r="AB69" s="1662"/>
      <c r="AC69" s="1662"/>
      <c r="AD69" s="1662"/>
      <c r="AE69" s="1662"/>
      <c r="AF69" s="1662"/>
      <c r="AG69" s="1662"/>
      <c r="AH69" s="1662"/>
      <c r="AI69" s="1662"/>
      <c r="AJ69" s="1662"/>
      <c r="AK69" s="1662"/>
      <c r="AS69" s="1663" t="str">
        <f>AS33</f>
        <v>--</v>
      </c>
      <c r="AT69" s="1663"/>
      <c r="AU69" s="1663"/>
      <c r="AV69" s="1663"/>
      <c r="AW69" s="1663"/>
      <c r="AX69" s="1663"/>
      <c r="AY69" s="1663"/>
      <c r="AZ69" s="1663"/>
      <c r="BA69" s="1663"/>
      <c r="BB69" s="1663"/>
      <c r="BC69" s="1663"/>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Costi </v>
      </c>
      <c r="S70" s="27" t="s">
        <v>46</v>
      </c>
      <c r="AA70" s="1657" t="str">
        <f>AA89</f>
        <v>-</v>
      </c>
      <c r="AB70" s="1615"/>
      <c r="AC70" s="1615"/>
      <c r="AD70" s="1615"/>
      <c r="AE70" s="1615"/>
      <c r="AF70" s="1615"/>
      <c r="AG70" s="1615"/>
      <c r="AH70" s="1615"/>
      <c r="AI70" s="1615"/>
      <c r="AJ70" s="1615"/>
      <c r="AK70" s="1615"/>
      <c r="AM70" s="93"/>
      <c r="AS70" s="1657" t="str">
        <f>AS89</f>
        <v>-</v>
      </c>
      <c r="AT70" s="1657"/>
      <c r="AU70" s="1657"/>
      <c r="AV70" s="1657"/>
      <c r="AW70" s="1657"/>
      <c r="AX70" s="1657"/>
      <c r="AY70" s="1657"/>
      <c r="AZ70" s="1657"/>
      <c r="BA70" s="1657"/>
      <c r="BB70" s="1657"/>
      <c r="BC70" s="1657"/>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Costi preventivo-manutenzione senza materiali</v>
      </c>
      <c r="S71" s="27" t="s">
        <v>46</v>
      </c>
      <c r="AA71" s="1687">
        <f>AA43</f>
        <v>0</v>
      </c>
      <c r="AB71" s="1688"/>
      <c r="AC71" s="1688"/>
      <c r="AD71" s="1688"/>
      <c r="AE71" s="1688"/>
      <c r="AF71" s="1688"/>
      <c r="AG71" s="49"/>
      <c r="AH71" s="49"/>
      <c r="AI71" s="49"/>
      <c r="AJ71" s="49"/>
      <c r="AK71" s="49"/>
      <c r="AM71" s="93"/>
      <c r="AS71" s="1687">
        <f>AS43</f>
        <v>0</v>
      </c>
      <c r="AT71" s="1688"/>
      <c r="AU71" s="1688"/>
      <c r="AV71" s="1688"/>
      <c r="AW71" s="1688"/>
      <c r="AX71" s="1688"/>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Materiale (arrotondato)</v>
      </c>
      <c r="S72" s="27" t="s">
        <v>46</v>
      </c>
      <c r="AA72" s="1687" t="e">
        <f>AA70-AA71</f>
        <v>#VALUE!</v>
      </c>
      <c r="AB72" s="1688"/>
      <c r="AC72" s="1688"/>
      <c r="AD72" s="1688"/>
      <c r="AE72" s="1688"/>
      <c r="AF72" s="1688"/>
      <c r="AG72" s="49"/>
      <c r="AH72" s="49"/>
      <c r="AI72" s="49"/>
      <c r="AJ72" s="49"/>
      <c r="AK72" s="49"/>
      <c r="AM72" s="93"/>
      <c r="AS72" s="1687" t="e">
        <f>AS70-AS71</f>
        <v>#VALUE!</v>
      </c>
      <c r="AT72" s="1688"/>
      <c r="AU72" s="1688"/>
      <c r="AV72" s="1688"/>
      <c r="AW72" s="1688"/>
      <c r="AX72" s="1688"/>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90">
        <f>AN218</f>
        <v>0</v>
      </c>
      <c r="AB74" s="1690"/>
      <c r="AC74" s="1690"/>
      <c r="AD74" s="1690"/>
      <c r="AE74" s="1690"/>
      <c r="AF74" s="1690"/>
      <c r="AG74" s="1690"/>
      <c r="AH74" s="1690"/>
      <c r="AI74" s="1690"/>
      <c r="AJ74" s="1690"/>
      <c r="AK74" s="1690"/>
      <c r="AM74" s="93"/>
      <c r="AS74" s="1653">
        <f>AA74</f>
        <v>0</v>
      </c>
      <c r="AT74" s="1653"/>
      <c r="AU74" s="1653"/>
      <c r="AV74" s="1653"/>
      <c r="AW74" s="1653"/>
      <c r="AX74" s="1653"/>
      <c r="AY74" s="1653"/>
      <c r="AZ74" s="1653"/>
      <c r="BA74" s="1653"/>
      <c r="BB74" s="1653"/>
      <c r="BC74" s="1653"/>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Costi annui</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Costi annui (liv. economico)</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14">
        <f>IF(AA62=0,0,AA37/AA62)</f>
        <v>0</v>
      </c>
      <c r="AB79" s="1614"/>
      <c r="AC79" s="1614"/>
      <c r="AD79" s="1614"/>
      <c r="AE79" s="1614"/>
      <c r="AF79" s="1614"/>
      <c r="AG79" s="1614"/>
      <c r="AH79" s="1614"/>
      <c r="AI79" s="1614"/>
      <c r="AJ79" s="1614"/>
      <c r="AK79" s="1614"/>
      <c r="AM79" s="71"/>
      <c r="AS79" s="1614">
        <f>IF(AS62=0,0,AS37/AS62)</f>
        <v>0</v>
      </c>
      <c r="AT79" s="1614"/>
      <c r="AU79" s="1614"/>
      <c r="AV79" s="1614"/>
      <c r="AW79" s="1614"/>
      <c r="AX79" s="1614"/>
      <c r="AY79" s="1614"/>
      <c r="AZ79" s="1614"/>
      <c r="BA79" s="1614"/>
      <c r="BB79" s="1614"/>
      <c r="BC79" s="1614"/>
      <c r="BE79" s="71"/>
      <c r="BI79" s="250"/>
      <c r="BW79" s="201"/>
      <c r="BX79" s="201"/>
      <c r="BY79" s="201"/>
      <c r="BZ79" s="201"/>
      <c r="CA79" s="201"/>
      <c r="CB79" s="201"/>
      <c r="CC79" s="201"/>
      <c r="CD79" s="201"/>
      <c r="CE79" s="201"/>
    </row>
    <row r="80" spans="1:140" ht="17" hidden="1" customHeight="1" outlineLevel="1" x14ac:dyDescent="0.15">
      <c r="C80" s="249"/>
      <c r="E80" s="902"/>
      <c r="F80" t="s">
        <v>214</v>
      </c>
      <c r="AA80" s="1653">
        <f>IF(AA79&lt;10000,-2,-3)</f>
        <v>-2</v>
      </c>
      <c r="AB80" s="1653"/>
      <c r="AC80" s="1653"/>
      <c r="AD80" s="1653"/>
      <c r="AE80" s="1653"/>
      <c r="AF80" s="1653"/>
      <c r="AG80" s="1653"/>
      <c r="AH80" s="1653"/>
      <c r="AI80" s="1653"/>
      <c r="AJ80" s="1653"/>
      <c r="AK80" s="1653"/>
      <c r="AM80" s="71"/>
      <c r="AS80" s="1653">
        <f>IF(AS79&lt;10000,-2,-3)</f>
        <v>-2</v>
      </c>
      <c r="AT80" s="1653"/>
      <c r="AU80" s="1653"/>
      <c r="AV80" s="1653"/>
      <c r="AW80" s="1653"/>
      <c r="AX80" s="1653"/>
      <c r="AY80" s="1653"/>
      <c r="AZ80" s="1653"/>
      <c r="BA80" s="1653"/>
      <c r="BB80" s="1653"/>
      <c r="BC80" s="1653"/>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3">
        <f>BN81</f>
        <v>0</v>
      </c>
      <c r="AB81" s="1653"/>
      <c r="AC81" s="1653"/>
      <c r="AD81" s="1653"/>
      <c r="AE81" s="1653"/>
      <c r="AF81" s="1653"/>
      <c r="AG81" s="1653"/>
      <c r="AH81" s="1653"/>
      <c r="AI81" s="1653"/>
      <c r="AJ81" s="1653"/>
      <c r="AK81" s="1653"/>
      <c r="AM81" s="93"/>
      <c r="AS81" s="1653">
        <f>BO81</f>
        <v>0</v>
      </c>
      <c r="AT81" s="1653"/>
      <c r="AU81" s="1653"/>
      <c r="AV81" s="1653"/>
      <c r="AW81" s="1653"/>
      <c r="AX81" s="1653"/>
      <c r="AY81" s="1653"/>
      <c r="AZ81" s="1653"/>
      <c r="BA81" s="1653"/>
      <c r="BB81" s="1653"/>
      <c r="BC81" s="1653"/>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Spese d'investimento</v>
      </c>
      <c r="S82" s="27" t="s">
        <v>46</v>
      </c>
      <c r="AA82" s="1657" t="str">
        <f>IF(AA81=1,ROUND(AA79,AA80),"-")</f>
        <v>-</v>
      </c>
      <c r="AB82" s="1657"/>
      <c r="AC82" s="1657"/>
      <c r="AD82" s="1657"/>
      <c r="AE82" s="1657"/>
      <c r="AF82" s="1657"/>
      <c r="AG82" s="1657"/>
      <c r="AH82" s="1657"/>
      <c r="AI82" s="1657"/>
      <c r="AJ82" s="1657"/>
      <c r="AK82" s="1657"/>
      <c r="AM82" s="93"/>
      <c r="AS82" s="1657" t="str">
        <f>IF(AS81=1,ROUND(AS79,AS80),"-")</f>
        <v>-</v>
      </c>
      <c r="AT82" s="1657"/>
      <c r="AU82" s="1657"/>
      <c r="AV82" s="1657"/>
      <c r="AW82" s="1657"/>
      <c r="AX82" s="1657"/>
      <c r="AY82" s="1657"/>
      <c r="AZ82" s="1657"/>
      <c r="BA82" s="1657"/>
      <c r="BB82" s="1657"/>
      <c r="BC82" s="1657"/>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7"/>
      <c r="AT83" s="1657"/>
      <c r="AU83" s="1657"/>
      <c r="AV83" s="1657"/>
      <c r="AW83" s="1657"/>
      <c r="AX83" s="1657"/>
      <c r="AY83" s="1657"/>
      <c r="AZ83" s="1657"/>
      <c r="BA83" s="1657"/>
      <c r="BB83" s="1657"/>
      <c r="BC83" s="1657"/>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Spese di manutenzione (Inserimento facoltativo)</v>
      </c>
      <c r="AA84" s="349"/>
      <c r="AB84" s="349"/>
      <c r="AC84" s="349"/>
      <c r="AD84" s="349"/>
      <c r="AE84" s="349"/>
      <c r="AF84" s="349"/>
      <c r="AG84" s="349"/>
      <c r="AH84" s="349"/>
      <c r="AI84" s="349"/>
      <c r="AJ84" s="349"/>
      <c r="AK84" s="349"/>
      <c r="AM84" s="93"/>
      <c r="AS84" s="1657"/>
      <c r="AT84" s="1657"/>
      <c r="AU84" s="1657"/>
      <c r="AV84" s="1657"/>
      <c r="AW84" s="1657"/>
      <c r="AX84" s="1657"/>
      <c r="AY84" s="1657"/>
      <c r="AZ84" s="1657"/>
      <c r="BA84" s="1657"/>
      <c r="BB84" s="1657"/>
      <c r="BC84" s="1657"/>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7">
        <f>MAX(AA183,AA186,AA192)</f>
        <v>0</v>
      </c>
      <c r="AB86" s="1657"/>
      <c r="AC86" s="1657"/>
      <c r="AD86" s="1657"/>
      <c r="AE86" s="1657"/>
      <c r="AF86" s="1657"/>
      <c r="AG86" s="1657"/>
      <c r="AH86" s="1657"/>
      <c r="AI86" s="1657"/>
      <c r="AJ86" s="1657"/>
      <c r="AK86" s="1657"/>
      <c r="AM86" s="93"/>
      <c r="AS86" s="1657">
        <f>MAX(AS183,AS186,AS192)</f>
        <v>0</v>
      </c>
      <c r="AT86" s="1657"/>
      <c r="AU86" s="1657"/>
      <c r="AV86" s="1657"/>
      <c r="AW86" s="1657"/>
      <c r="AX86" s="1657"/>
      <c r="AY86" s="1657"/>
      <c r="AZ86" s="1657"/>
      <c r="BA86" s="1657"/>
      <c r="BB86" s="1657"/>
      <c r="BC86" s="1657"/>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3">
        <f>IF(AA86&lt;10000,-2,-3)</f>
        <v>-2</v>
      </c>
      <c r="AB87" s="1653"/>
      <c r="AC87" s="1653"/>
      <c r="AD87" s="1653"/>
      <c r="AE87" s="1653"/>
      <c r="AF87" s="1653"/>
      <c r="AG87" s="1653"/>
      <c r="AH87" s="1653"/>
      <c r="AI87" s="1653"/>
      <c r="AJ87" s="1653"/>
      <c r="AK87" s="1653"/>
      <c r="AM87" s="93"/>
      <c r="AS87" s="1653">
        <f>IF(AS86&lt;10000,-2,-3)</f>
        <v>-2</v>
      </c>
      <c r="AT87" s="1653"/>
      <c r="AU87" s="1653"/>
      <c r="AV87" s="1653"/>
      <c r="AW87" s="1653"/>
      <c r="AX87" s="1653"/>
      <c r="AY87" s="1653"/>
      <c r="AZ87" s="1653"/>
      <c r="BA87" s="1653"/>
      <c r="BB87" s="1653"/>
      <c r="BC87" s="1653"/>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3">
        <f>BN88</f>
        <v>0</v>
      </c>
      <c r="AB88" s="1653"/>
      <c r="AC88" s="1653"/>
      <c r="AD88" s="1653"/>
      <c r="AE88" s="1653"/>
      <c r="AF88" s="1653"/>
      <c r="AG88" s="1653"/>
      <c r="AH88" s="1653"/>
      <c r="AI88" s="1653"/>
      <c r="AJ88" s="1653"/>
      <c r="AK88" s="1653"/>
      <c r="AM88" s="93"/>
      <c r="AS88" s="1653">
        <f>BO88</f>
        <v>0</v>
      </c>
      <c r="AT88" s="1653"/>
      <c r="AU88" s="1653"/>
      <c r="AV88" s="1653"/>
      <c r="AW88" s="1653"/>
      <c r="AX88" s="1653"/>
      <c r="AY88" s="1653"/>
      <c r="AZ88" s="1653"/>
      <c r="BA88" s="1653"/>
      <c r="BB88" s="1653"/>
      <c r="BC88" s="1653"/>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Spese di manutenzione</v>
      </c>
      <c r="S89" s="27" t="s">
        <v>46</v>
      </c>
      <c r="AA89" s="1657" t="str">
        <f>IF(AA88=1,ROUND(AA86,AA87),"-")</f>
        <v>-</v>
      </c>
      <c r="AB89" s="1657"/>
      <c r="AC89" s="1657"/>
      <c r="AD89" s="1657"/>
      <c r="AE89" s="1657"/>
      <c r="AF89" s="1657"/>
      <c r="AG89" s="1657"/>
      <c r="AH89" s="1657"/>
      <c r="AI89" s="1657"/>
      <c r="AJ89" s="1657"/>
      <c r="AK89" s="1657"/>
      <c r="AM89" s="93"/>
      <c r="AS89" s="1657" t="str">
        <f>IF(AS88=1,ROUND(AS86,AS87),"-")</f>
        <v>-</v>
      </c>
      <c r="AT89" s="1657"/>
      <c r="AU89" s="1657"/>
      <c r="AV89" s="1657"/>
      <c r="AW89" s="1657"/>
      <c r="AX89" s="1657"/>
      <c r="AY89" s="1657"/>
      <c r="AZ89" s="1657"/>
      <c r="BA89" s="1657"/>
      <c r="BB89" s="1657"/>
      <c r="BC89" s="1657"/>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7" t="str">
        <f>IF(AA86=AA192,E70,IF(AA86=AA186,F45,F183))</f>
        <v xml:space="preserve">Costi </v>
      </c>
      <c r="AB90" s="1657"/>
      <c r="AC90" s="1657"/>
      <c r="AD90" s="1657"/>
      <c r="AE90" s="1657"/>
      <c r="AF90" s="1657"/>
      <c r="AG90" s="1657"/>
      <c r="AH90" s="1657"/>
      <c r="AI90" s="1657"/>
      <c r="AJ90" s="1657"/>
      <c r="AK90" s="1657"/>
      <c r="AM90" s="93"/>
      <c r="AS90" s="1664">
        <f>IF(AS87&gt;0,ROUND(AS87,AS89),0)</f>
        <v>0</v>
      </c>
      <c r="AT90" s="1664"/>
      <c r="AU90" s="1664"/>
      <c r="AV90" s="1664"/>
      <c r="AW90" s="1664"/>
      <c r="AX90" s="1664"/>
      <c r="AY90" s="1664"/>
      <c r="AZ90" s="1664"/>
      <c r="BA90" s="1664"/>
      <c r="BB90" s="1664"/>
      <c r="BC90" s="1664"/>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7"/>
      <c r="AT91" s="1657"/>
      <c r="AU91" s="1657"/>
      <c r="AV91" s="1657"/>
      <c r="AW91" s="1657"/>
      <c r="AX91" s="1657"/>
      <c r="AY91" s="1657"/>
      <c r="AZ91" s="1657"/>
      <c r="BA91" s="1657"/>
      <c r="BB91" s="1657"/>
      <c r="BC91" s="1657"/>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7">
        <f>AA39*AA63/100</f>
        <v>0</v>
      </c>
      <c r="AB92" s="1657"/>
      <c r="AC92" s="1657"/>
      <c r="AD92" s="1657"/>
      <c r="AE92" s="1657"/>
      <c r="AF92" s="1657"/>
      <c r="AG92" s="1657"/>
      <c r="AH92" s="1657"/>
      <c r="AI92" s="1657"/>
      <c r="AJ92" s="1657"/>
      <c r="AK92" s="1657"/>
      <c r="AM92" s="93"/>
      <c r="AS92" s="1657">
        <f>AS39*AS63/100</f>
        <v>0</v>
      </c>
      <c r="AT92" s="1657"/>
      <c r="AU92" s="1657"/>
      <c r="AV92" s="1657"/>
      <c r="AW92" s="1657"/>
      <c r="AX92" s="1657"/>
      <c r="AY92" s="1657"/>
      <c r="AZ92" s="1657"/>
      <c r="BA92" s="1657"/>
      <c r="BB92" s="1657"/>
      <c r="BC92" s="1657"/>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3">
        <f>IF(AA92&lt;10000,-2,-3)</f>
        <v>-2</v>
      </c>
      <c r="AB93" s="1653"/>
      <c r="AC93" s="1653"/>
      <c r="AD93" s="1653"/>
      <c r="AE93" s="1653"/>
      <c r="AF93" s="1653"/>
      <c r="AG93" s="1653"/>
      <c r="AH93" s="1653"/>
      <c r="AI93" s="1653"/>
      <c r="AJ93" s="1653"/>
      <c r="AK93" s="1653"/>
      <c r="AM93" s="93"/>
      <c r="AS93" s="1657">
        <f>IF(AS92&lt;10000,-2,-3)</f>
        <v>-2</v>
      </c>
      <c r="AT93" s="1657"/>
      <c r="AU93" s="1657"/>
      <c r="AV93" s="1657"/>
      <c r="AW93" s="1657"/>
      <c r="AX93" s="1657"/>
      <c r="AY93" s="1657"/>
      <c r="AZ93" s="1657"/>
      <c r="BA93" s="1657"/>
      <c r="BB93" s="1657"/>
      <c r="BC93" s="1657"/>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3">
        <f>BN94</f>
        <v>0</v>
      </c>
      <c r="AB94" s="1653"/>
      <c r="AC94" s="1653"/>
      <c r="AD94" s="1653"/>
      <c r="AE94" s="1653"/>
      <c r="AF94" s="1653"/>
      <c r="AG94" s="1653"/>
      <c r="AH94" s="1653"/>
      <c r="AI94" s="1653"/>
      <c r="AJ94" s="1653"/>
      <c r="AK94" s="1653"/>
      <c r="AM94" s="93"/>
      <c r="AS94" s="1653">
        <f>BO94</f>
        <v>0</v>
      </c>
      <c r="AT94" s="1653"/>
      <c r="AU94" s="1653"/>
      <c r="AV94" s="1653"/>
      <c r="AW94" s="1653"/>
      <c r="AX94" s="1653"/>
      <c r="AY94" s="1653"/>
      <c r="AZ94" s="1653"/>
      <c r="BA94" s="1653"/>
      <c r="BB94" s="1653"/>
      <c r="BC94" s="1653"/>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Costi energetici impianto di refrigerazione</v>
      </c>
      <c r="S95" s="27" t="s">
        <v>46</v>
      </c>
      <c r="V95" s="437" t="s">
        <v>266</v>
      </c>
      <c r="W95" s="437" t="s">
        <v>266</v>
      </c>
      <c r="X95" s="437" t="s">
        <v>266</v>
      </c>
      <c r="AA95" s="1657" t="str">
        <f>IF(AA94=1,(ROUND(AA92,AA93)-AA103),"-")</f>
        <v>-</v>
      </c>
      <c r="AB95" s="1657"/>
      <c r="AC95" s="1657"/>
      <c r="AD95" s="1657"/>
      <c r="AE95" s="1657"/>
      <c r="AF95" s="1657"/>
      <c r="AG95" s="1657"/>
      <c r="AH95" s="1657"/>
      <c r="AI95" s="1657"/>
      <c r="AJ95" s="1657"/>
      <c r="AK95" s="1657"/>
      <c r="AS95" s="1657" t="str">
        <f>IF(AS94=1,(ROUND(AS92,AS93)-AS103),"-")</f>
        <v>-</v>
      </c>
      <c r="AT95" s="1657"/>
      <c r="AU95" s="1657"/>
      <c r="AV95" s="1657"/>
      <c r="AW95" s="1657"/>
      <c r="AX95" s="1657"/>
      <c r="AY95" s="1657"/>
      <c r="AZ95" s="1657"/>
      <c r="BA95" s="1657"/>
      <c r="BB95" s="1657"/>
      <c r="BC95" s="1657"/>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65">
        <f>'2A Electricity regular'!AE876</f>
        <v>0</v>
      </c>
      <c r="AB99" s="1665"/>
      <c r="AC99" s="1665"/>
      <c r="AD99" s="1665"/>
      <c r="AE99" s="1665"/>
      <c r="AF99" s="1665"/>
      <c r="AG99" s="1665"/>
      <c r="AH99" s="1665"/>
      <c r="AI99" s="1665"/>
      <c r="AJ99" s="1665"/>
      <c r="AK99" s="1665"/>
      <c r="AM99" s="93"/>
      <c r="AS99" s="1665">
        <f>'2A Electricity regular'!BC876</f>
        <v>0</v>
      </c>
      <c r="AT99" s="1665"/>
      <c r="AU99" s="1665"/>
      <c r="AV99" s="1665"/>
      <c r="AW99" s="1665"/>
      <c r="AX99" s="1665"/>
      <c r="AY99" s="1665"/>
      <c r="AZ99" s="1665"/>
      <c r="BA99" s="1665"/>
      <c r="BB99" s="1665"/>
      <c r="BC99" s="1665"/>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65">
        <f>AA99*AI39/100</f>
        <v>0</v>
      </c>
      <c r="AB100" s="1665"/>
      <c r="AC100" s="1665"/>
      <c r="AD100" s="1665"/>
      <c r="AE100" s="1665"/>
      <c r="AF100" s="1665"/>
      <c r="AG100" s="1665"/>
      <c r="AH100" s="1665"/>
      <c r="AI100" s="1665"/>
      <c r="AJ100" s="1665"/>
      <c r="AK100" s="1665"/>
      <c r="AM100" s="93"/>
      <c r="AS100" s="1665">
        <f>AS99*AI39/100</f>
        <v>0</v>
      </c>
      <c r="AT100" s="1665"/>
      <c r="AU100" s="1665"/>
      <c r="AV100" s="1665"/>
      <c r="AW100" s="1665"/>
      <c r="AX100" s="1665"/>
      <c r="AY100" s="1665"/>
      <c r="AZ100" s="1665"/>
      <c r="BA100" s="1665"/>
      <c r="BB100" s="1665"/>
      <c r="BC100" s="1665"/>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3">
        <f>IF(AA100&gt;-10000,-2,-3)</f>
        <v>-2</v>
      </c>
      <c r="AB101" s="1653"/>
      <c r="AC101" s="1653"/>
      <c r="AD101" s="1653"/>
      <c r="AE101" s="1653"/>
      <c r="AF101" s="1653"/>
      <c r="AG101" s="1653"/>
      <c r="AH101" s="1653"/>
      <c r="AI101" s="1653"/>
      <c r="AJ101" s="1653"/>
      <c r="AK101" s="1653"/>
      <c r="AM101" s="93"/>
      <c r="AS101" s="1653">
        <f>IF(AS100&gt;-10000,-2,-3)</f>
        <v>-2</v>
      </c>
      <c r="AT101" s="1653"/>
      <c r="AU101" s="1653"/>
      <c r="AV101" s="1653"/>
      <c r="AW101" s="1653"/>
      <c r="AX101" s="1653"/>
      <c r="AY101" s="1653"/>
      <c r="AZ101" s="1653"/>
      <c r="BA101" s="1653"/>
      <c r="BB101" s="1653"/>
      <c r="BC101" s="1653"/>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3">
        <f>BN102</f>
        <v>0</v>
      </c>
      <c r="AB102" s="1653"/>
      <c r="AC102" s="1653"/>
      <c r="AD102" s="1653"/>
      <c r="AE102" s="1653"/>
      <c r="AF102" s="1653"/>
      <c r="AG102" s="1653"/>
      <c r="AH102" s="1653"/>
      <c r="AI102" s="1653"/>
      <c r="AJ102" s="1653"/>
      <c r="AK102" s="1653"/>
      <c r="AM102" s="93"/>
      <c r="AS102" s="1653">
        <f>BO102</f>
        <v>0</v>
      </c>
      <c r="AT102" s="1653"/>
      <c r="AU102" s="1653"/>
      <c r="AV102" s="1653"/>
      <c r="AW102" s="1653"/>
      <c r="AX102" s="1653"/>
      <c r="AY102" s="1653"/>
      <c r="AZ102" s="1653"/>
      <c r="BA102" s="1653"/>
      <c r="BB102" s="1653"/>
      <c r="BC102" s="1653"/>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Il free-cooling riduce i costi energetici di</v>
      </c>
      <c r="S103" s="27" t="s">
        <v>46</v>
      </c>
      <c r="AA103" s="1657" t="str">
        <f>IF(AA102=1,ROUND(-AA100,AA101),"-")</f>
        <v>-</v>
      </c>
      <c r="AB103" s="1657"/>
      <c r="AC103" s="1657"/>
      <c r="AD103" s="1657"/>
      <c r="AE103" s="1657"/>
      <c r="AF103" s="1657"/>
      <c r="AG103" s="1657"/>
      <c r="AH103" s="1657"/>
      <c r="AI103" s="1657"/>
      <c r="AJ103" s="1657"/>
      <c r="AK103" s="1657"/>
      <c r="AL103" s="712"/>
      <c r="AM103" s="712"/>
      <c r="AN103" s="712"/>
      <c r="AO103" s="712"/>
      <c r="AP103" s="712"/>
      <c r="AQ103" s="712"/>
      <c r="AS103" s="1657" t="str">
        <f>IF(AS102=1,ROUND(-AS100,AS101),"-")</f>
        <v>-</v>
      </c>
      <c r="AT103" s="1657"/>
      <c r="AU103" s="1657"/>
      <c r="AV103" s="1657"/>
      <c r="AW103" s="1657"/>
      <c r="AX103" s="1657"/>
      <c r="AY103" s="1657"/>
      <c r="AZ103" s="1657"/>
      <c r="BA103" s="1657"/>
      <c r="BB103" s="1657"/>
      <c r="BC103" s="1657"/>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65">
        <f>'1 System specification'!AA302</f>
        <v>0</v>
      </c>
      <c r="AB107" s="1665"/>
      <c r="AC107" s="1665"/>
      <c r="AD107" s="1665"/>
      <c r="AE107" s="1665"/>
      <c r="AF107" s="1665"/>
      <c r="AG107" s="1665"/>
      <c r="AH107" s="1665"/>
      <c r="AI107" s="1665"/>
      <c r="AJ107" s="1665"/>
      <c r="AK107" s="1665"/>
      <c r="AM107" s="93"/>
      <c r="AS107" s="1665">
        <f>'1 System specification'!BR302</f>
        <v>0</v>
      </c>
      <c r="AT107" s="1665"/>
      <c r="AU107" s="1665"/>
      <c r="AV107" s="1665"/>
      <c r="AW107" s="1665"/>
      <c r="AX107" s="1665"/>
      <c r="AY107" s="1665"/>
      <c r="AZ107" s="1665"/>
      <c r="BA107" s="1665"/>
      <c r="BB107" s="1665"/>
      <c r="BC107" s="1665"/>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65">
        <f>AN218</f>
        <v>0</v>
      </c>
      <c r="AB108" s="1665"/>
      <c r="AC108" s="1665"/>
      <c r="AD108" s="1665"/>
      <c r="AE108" s="1665"/>
      <c r="AF108" s="1665"/>
      <c r="AG108" s="1665"/>
      <c r="AH108" s="1665"/>
      <c r="AI108" s="1665"/>
      <c r="AJ108" s="1665"/>
      <c r="AK108" s="1665"/>
      <c r="AM108" s="93"/>
      <c r="AS108" s="1665">
        <f>AA108</f>
        <v>0</v>
      </c>
      <c r="AT108" s="1665"/>
      <c r="AU108" s="1665"/>
      <c r="AV108" s="1665"/>
      <c r="AW108" s="1665"/>
      <c r="AX108" s="1665"/>
      <c r="AY108" s="1665"/>
      <c r="AZ108" s="1665"/>
      <c r="BA108" s="1665"/>
      <c r="BB108" s="1665"/>
      <c r="BC108" s="1665"/>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65">
        <f>AA107*AA108/100</f>
        <v>0</v>
      </c>
      <c r="AB109" s="1665"/>
      <c r="AC109" s="1665"/>
      <c r="AD109" s="1665"/>
      <c r="AE109" s="1665"/>
      <c r="AF109" s="1665"/>
      <c r="AG109" s="1665"/>
      <c r="AH109" s="1665"/>
      <c r="AI109" s="1665"/>
      <c r="AJ109" s="1665"/>
      <c r="AK109" s="1665"/>
      <c r="AM109" s="93"/>
      <c r="AS109" s="1665">
        <f>AS107*AS108/100</f>
        <v>0</v>
      </c>
      <c r="AT109" s="1665"/>
      <c r="AU109" s="1665"/>
      <c r="AV109" s="1665"/>
      <c r="AW109" s="1665"/>
      <c r="AX109" s="1665"/>
      <c r="AY109" s="1665"/>
      <c r="AZ109" s="1665"/>
      <c r="BA109" s="1665"/>
      <c r="BB109" s="1665"/>
      <c r="BC109" s="1665"/>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3">
        <f>IF(AA109&gt;-10000,-2,-3)</f>
        <v>-2</v>
      </c>
      <c r="AB110" s="1653"/>
      <c r="AC110" s="1653"/>
      <c r="AD110" s="1653"/>
      <c r="AE110" s="1653"/>
      <c r="AF110" s="1653"/>
      <c r="AG110" s="1653"/>
      <c r="AH110" s="1653"/>
      <c r="AI110" s="1653"/>
      <c r="AJ110" s="1653"/>
      <c r="AK110" s="1653"/>
      <c r="AM110" s="93"/>
      <c r="AS110" s="1653">
        <f>IF(AS109&gt;-10000,-2,-3)</f>
        <v>-2</v>
      </c>
      <c r="AT110" s="1653"/>
      <c r="AU110" s="1653"/>
      <c r="AV110" s="1653"/>
      <c r="AW110" s="1653"/>
      <c r="AX110" s="1653"/>
      <c r="AY110" s="1653"/>
      <c r="AZ110" s="1653"/>
      <c r="BA110" s="1653"/>
      <c r="BB110" s="1653"/>
      <c r="BC110" s="1653"/>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3">
        <f>BN111</f>
        <v>0</v>
      </c>
      <c r="AB111" s="1653"/>
      <c r="AC111" s="1653"/>
      <c r="AD111" s="1653"/>
      <c r="AE111" s="1653"/>
      <c r="AF111" s="1653"/>
      <c r="AG111" s="1653"/>
      <c r="AH111" s="1653"/>
      <c r="AI111" s="1653"/>
      <c r="AJ111" s="1653"/>
      <c r="AK111" s="1653"/>
      <c r="AM111" s="93"/>
      <c r="AS111" s="1653">
        <f>BO111</f>
        <v>0</v>
      </c>
      <c r="AT111" s="1653"/>
      <c r="AU111" s="1653"/>
      <c r="AV111" s="1653"/>
      <c r="AW111" s="1653"/>
      <c r="AX111" s="1653"/>
      <c r="AY111" s="1653"/>
      <c r="AZ111" s="1653"/>
      <c r="BA111" s="1653"/>
      <c r="BB111" s="1653"/>
      <c r="BC111" s="1653"/>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Risparmio grazie al recupero del calore</v>
      </c>
      <c r="S112" s="27" t="s">
        <v>46</v>
      </c>
      <c r="AA112" s="1657" t="str">
        <f>IF(AA111=1,ROUND(-AA109,AA110),"-")</f>
        <v>-</v>
      </c>
      <c r="AB112" s="1657"/>
      <c r="AC112" s="1657"/>
      <c r="AD112" s="1657"/>
      <c r="AE112" s="1657"/>
      <c r="AF112" s="1657"/>
      <c r="AG112" s="1657"/>
      <c r="AH112" s="1657"/>
      <c r="AI112" s="1657"/>
      <c r="AJ112" s="1657"/>
      <c r="AK112" s="1657"/>
      <c r="AM112" s="93"/>
      <c r="AS112" s="1657" t="str">
        <f>IF(AS111=1,ROUND(-AS109,AS110),"-")</f>
        <v>-</v>
      </c>
      <c r="AT112" s="1657"/>
      <c r="AU112" s="1657"/>
      <c r="AV112" s="1657"/>
      <c r="AW112" s="1657"/>
      <c r="AX112" s="1657"/>
      <c r="AY112" s="1657"/>
      <c r="AZ112" s="1657"/>
      <c r="BA112" s="1657"/>
      <c r="BB112" s="1657"/>
      <c r="BC112" s="1657"/>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56">
        <f>BN114</f>
        <v>0</v>
      </c>
      <c r="AB114" s="1656"/>
      <c r="AC114" s="1656"/>
      <c r="AD114" s="1656"/>
      <c r="AE114" s="1656"/>
      <c r="AF114" s="1656"/>
      <c r="AG114" s="1656"/>
      <c r="AH114" s="1656"/>
      <c r="AI114" s="1656"/>
      <c r="AJ114" s="1656"/>
      <c r="AK114" s="1656"/>
      <c r="AM114" s="1132"/>
      <c r="AS114" s="1656">
        <f>BO114</f>
        <v>0</v>
      </c>
      <c r="AT114" s="1656"/>
      <c r="AU114" s="1656"/>
      <c r="AV114" s="1656"/>
      <c r="AW114" s="1656"/>
      <c r="AX114" s="1656"/>
      <c r="AY114" s="1656"/>
      <c r="AZ114" s="1656"/>
      <c r="BA114" s="1656"/>
      <c r="BB114" s="1656"/>
      <c r="BC114" s="165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Costi annui</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64" t="str">
        <f>IF(AA114=1,AA82+AA89+AA95+AA103+AA112,"-")</f>
        <v>-</v>
      </c>
      <c r="AB115" s="1664"/>
      <c r="AC115" s="1664"/>
      <c r="AD115" s="1664"/>
      <c r="AE115" s="1664"/>
      <c r="AF115" s="1664"/>
      <c r="AG115" s="1664"/>
      <c r="AH115" s="1664"/>
      <c r="AI115" s="1664"/>
      <c r="AJ115" s="1664"/>
      <c r="AK115" s="1664"/>
      <c r="AL115" s="124"/>
      <c r="AM115" s="270"/>
      <c r="AN115" s="124"/>
      <c r="AO115" s="124"/>
      <c r="AP115" s="124"/>
      <c r="AQ115" s="124"/>
      <c r="AR115" s="124"/>
      <c r="AS115" s="1664" t="str">
        <f>IF(AS114=1,AS82+AS89+AS95+AS103+AS112,"-")</f>
        <v>-</v>
      </c>
      <c r="AT115" s="1664"/>
      <c r="AU115" s="1664"/>
      <c r="AV115" s="1664"/>
      <c r="AW115" s="1664"/>
      <c r="AX115" s="1664"/>
      <c r="AY115" s="1664"/>
      <c r="AZ115" s="1664"/>
      <c r="BA115" s="1664"/>
      <c r="BB115" s="1664"/>
      <c r="BC115" s="1664"/>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Costi annui per un funzionamento neutrale per il clima (liv. economico + ecologico)</v>
      </c>
      <c r="AM117" s="71"/>
      <c r="BE117" s="71"/>
      <c r="BI117" s="250"/>
    </row>
    <row r="118" spans="1:140" s="27" customFormat="1" ht="17" hidden="1" customHeight="1" outlineLevel="1" x14ac:dyDescent="0.15">
      <c r="A118" s="201"/>
      <c r="C118" s="254"/>
      <c r="D118" s="55"/>
      <c r="E118" s="771" t="str">
        <f>E82</f>
        <v>Spese d'investimento</v>
      </c>
      <c r="S118" s="27" t="s">
        <v>46</v>
      </c>
      <c r="AA118" s="1657" t="str">
        <f>AA82</f>
        <v>-</v>
      </c>
      <c r="AB118" s="1657"/>
      <c r="AC118" s="1657"/>
      <c r="AD118" s="1657"/>
      <c r="AE118" s="1657"/>
      <c r="AF118" s="1657"/>
      <c r="AG118" s="1657"/>
      <c r="AH118" s="1657"/>
      <c r="AI118" s="1657"/>
      <c r="AJ118" s="1657"/>
      <c r="AK118" s="1657"/>
      <c r="AM118" s="93"/>
      <c r="AS118" s="1657" t="str">
        <f>AS82</f>
        <v>-</v>
      </c>
      <c r="AT118" s="1657"/>
      <c r="AU118" s="1657"/>
      <c r="AV118" s="1657"/>
      <c r="AW118" s="1657"/>
      <c r="AX118" s="1657"/>
      <c r="AY118" s="1657"/>
      <c r="AZ118" s="1657"/>
      <c r="BA118" s="1657"/>
      <c r="BB118" s="1657"/>
      <c r="BC118" s="1657"/>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Spese di manutenzione</v>
      </c>
      <c r="S119" s="27" t="s">
        <v>46</v>
      </c>
      <c r="AA119" s="1657" t="str">
        <f>AA89</f>
        <v>-</v>
      </c>
      <c r="AB119" s="1657"/>
      <c r="AC119" s="1657"/>
      <c r="AD119" s="1657"/>
      <c r="AE119" s="1657"/>
      <c r="AF119" s="1657"/>
      <c r="AG119" s="1657"/>
      <c r="AH119" s="1657"/>
      <c r="AI119" s="1657"/>
      <c r="AJ119" s="1657"/>
      <c r="AK119" s="1657"/>
      <c r="AM119" s="93"/>
      <c r="AS119" s="1657" t="str">
        <f>AS89</f>
        <v>-</v>
      </c>
      <c r="AT119" s="1657"/>
      <c r="AU119" s="1657"/>
      <c r="AV119" s="1657"/>
      <c r="AW119" s="1657"/>
      <c r="AX119" s="1657"/>
      <c r="AY119" s="1657"/>
      <c r="AZ119" s="1657"/>
      <c r="BA119" s="1657"/>
      <c r="BB119" s="1657"/>
      <c r="BC119" s="1657"/>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Costi energetici impianto di refrigerazione</v>
      </c>
      <c r="S120" s="27" t="s">
        <v>46</v>
      </c>
      <c r="AA120" s="1657" t="str">
        <f>AA95</f>
        <v>-</v>
      </c>
      <c r="AB120" s="1657"/>
      <c r="AC120" s="1657"/>
      <c r="AD120" s="1657"/>
      <c r="AE120" s="1657"/>
      <c r="AF120" s="1657"/>
      <c r="AG120" s="1657"/>
      <c r="AH120" s="1657"/>
      <c r="AI120" s="1657"/>
      <c r="AJ120" s="1657"/>
      <c r="AK120" s="1657"/>
      <c r="AM120" s="93"/>
      <c r="AS120" s="1657" t="str">
        <f>AS95</f>
        <v>-</v>
      </c>
      <c r="AT120" s="1657"/>
      <c r="AU120" s="1657"/>
      <c r="AV120" s="1657"/>
      <c r="AW120" s="1657"/>
      <c r="AX120" s="1657"/>
      <c r="AY120" s="1657"/>
      <c r="AZ120" s="1657"/>
      <c r="BA120" s="1657"/>
      <c r="BB120" s="1657"/>
      <c r="BC120" s="1657"/>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Risparmio grazie al recupero del calore</v>
      </c>
      <c r="S121" s="27" t="s">
        <v>46</v>
      </c>
      <c r="AA121" s="1657" t="str">
        <f>AA112</f>
        <v>-</v>
      </c>
      <c r="AB121" s="1657"/>
      <c r="AC121" s="1657"/>
      <c r="AD121" s="1657"/>
      <c r="AE121" s="1657"/>
      <c r="AF121" s="1657"/>
      <c r="AG121" s="1657"/>
      <c r="AH121" s="1657"/>
      <c r="AI121" s="1657"/>
      <c r="AJ121" s="1657"/>
      <c r="AK121" s="1657"/>
      <c r="AM121" s="93"/>
      <c r="AS121" s="1657" t="str">
        <f>AS112</f>
        <v>-</v>
      </c>
      <c r="AT121" s="1657"/>
      <c r="AU121" s="1657"/>
      <c r="AV121" s="1657"/>
      <c r="AW121" s="1657"/>
      <c r="AX121" s="1657"/>
      <c r="AY121" s="1657"/>
      <c r="AZ121" s="1657"/>
      <c r="BA121" s="1657"/>
      <c r="BB121" s="1657"/>
      <c r="BC121" s="1657"/>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7">
        <f>'3 TEWI'!AA160</f>
        <v>0</v>
      </c>
      <c r="AB123" s="1657"/>
      <c r="AC123" s="1657"/>
      <c r="AD123" s="1657"/>
      <c r="AE123" s="1657"/>
      <c r="AF123" s="1657"/>
      <c r="AG123" s="1657"/>
      <c r="AH123" s="1657"/>
      <c r="AI123" s="1657"/>
      <c r="AJ123" s="1657"/>
      <c r="AK123" s="1657"/>
      <c r="AM123" s="93"/>
      <c r="AS123" s="1657">
        <f>'3 TEWI'!AT160</f>
        <v>0</v>
      </c>
      <c r="AT123" s="1657"/>
      <c r="AU123" s="1657"/>
      <c r="AV123" s="1657"/>
      <c r="AW123" s="1657"/>
      <c r="AX123" s="1657"/>
      <c r="AY123" s="1657"/>
      <c r="AZ123" s="1657"/>
      <c r="BA123" s="1657"/>
      <c r="BB123" s="1657"/>
      <c r="BC123" s="1657"/>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3">
        <f>IF(AA123&lt;10000,-2,-3)</f>
        <v>-2</v>
      </c>
      <c r="AB124" s="1653"/>
      <c r="AC124" s="1653"/>
      <c r="AD124" s="1653"/>
      <c r="AE124" s="1653"/>
      <c r="AF124" s="1653"/>
      <c r="AG124" s="1653"/>
      <c r="AH124" s="1653"/>
      <c r="AI124" s="1653"/>
      <c r="AJ124" s="1653"/>
      <c r="AK124" s="1653"/>
      <c r="AM124" s="93"/>
      <c r="AS124" s="1653">
        <f>IF(AS123&lt;10000,-2,-3)</f>
        <v>-2</v>
      </c>
      <c r="AT124" s="1653"/>
      <c r="AU124" s="1653"/>
      <c r="AV124" s="1653"/>
      <c r="AW124" s="1653"/>
      <c r="AX124" s="1653"/>
      <c r="AY124" s="1653"/>
      <c r="AZ124" s="1653"/>
      <c r="BA124" s="1653"/>
      <c r="BB124" s="1653"/>
      <c r="BC124" s="1653"/>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3">
        <f>BN125</f>
        <v>0</v>
      </c>
      <c r="AB125" s="1653"/>
      <c r="AC125" s="1653"/>
      <c r="AD125" s="1653"/>
      <c r="AE125" s="1653"/>
      <c r="AF125" s="1653"/>
      <c r="AG125" s="1653"/>
      <c r="AH125" s="1653"/>
      <c r="AI125" s="1653"/>
      <c r="AJ125" s="1653"/>
      <c r="AK125" s="1653"/>
      <c r="AM125" s="93"/>
      <c r="AS125" s="1653">
        <f>BO125</f>
        <v>0</v>
      </c>
      <c r="AT125" s="1653"/>
      <c r="AU125" s="1653"/>
      <c r="AV125" s="1653"/>
      <c r="AW125" s="1653"/>
      <c r="AX125" s="1653"/>
      <c r="AY125" s="1653"/>
      <c r="AZ125" s="1653"/>
      <c r="BA125" s="1653"/>
      <c r="BB125" s="1653"/>
      <c r="BC125" s="1653"/>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Spese di compensazione CO2</v>
      </c>
      <c r="S126" s="27" t="s">
        <v>46</v>
      </c>
      <c r="AA126" s="1667" t="str">
        <f>IF(AA125=1,ROUND(AA123,AA124),"-")</f>
        <v>-</v>
      </c>
      <c r="AB126" s="1667"/>
      <c r="AC126" s="1667"/>
      <c r="AD126" s="1667"/>
      <c r="AE126" s="1667"/>
      <c r="AF126" s="1667"/>
      <c r="AG126" s="1667"/>
      <c r="AH126" s="1667"/>
      <c r="AI126" s="1667"/>
      <c r="AJ126" s="1667"/>
      <c r="AK126" s="1667"/>
      <c r="AM126" s="93"/>
      <c r="AS126" s="1692" t="str">
        <f>IF(AS125=1,ROUND(AS123,AS124),"-")</f>
        <v>-</v>
      </c>
      <c r="AT126" s="1692"/>
      <c r="AU126" s="1692"/>
      <c r="AV126" s="1692"/>
      <c r="AW126" s="1692"/>
      <c r="AX126" s="1692"/>
      <c r="AY126" s="1692"/>
      <c r="AZ126" s="1692"/>
      <c r="BA126" s="1692"/>
      <c r="BB126" s="1692"/>
      <c r="BC126" s="1692"/>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Costi annui (funzionamento con CO2 neutro)</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64" t="str">
        <f>IF(AA125=1,AA115+AA126,"-")</f>
        <v>-</v>
      </c>
      <c r="AB127" s="1664"/>
      <c r="AC127" s="1664"/>
      <c r="AD127" s="1664"/>
      <c r="AE127" s="1664"/>
      <c r="AF127" s="1664"/>
      <c r="AG127" s="1664"/>
      <c r="AH127" s="1664"/>
      <c r="AI127" s="1664"/>
      <c r="AJ127" s="1664"/>
      <c r="AK127" s="1664"/>
      <c r="AL127" s="124"/>
      <c r="AM127" s="270"/>
      <c r="AN127" s="124"/>
      <c r="AO127" s="124"/>
      <c r="AP127" s="124"/>
      <c r="AQ127" s="124"/>
      <c r="AR127" s="124"/>
      <c r="AS127" s="1664" t="str">
        <f>IF(AS125=1,AS115+AS126,"-")</f>
        <v>-</v>
      </c>
      <c r="AT127" s="1664"/>
      <c r="AU127" s="1664"/>
      <c r="AV127" s="1664"/>
      <c r="AW127" s="1664"/>
      <c r="AX127" s="1664"/>
      <c r="AY127" s="1664"/>
      <c r="AZ127" s="1664"/>
      <c r="BA127" s="1664"/>
      <c r="BB127" s="1664"/>
      <c r="BC127" s="1664"/>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Costi del ciclo vitale (Life Cycle Cost LCC)</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Costi del ciclo vitale</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14">
        <f>AA37</f>
        <v>0</v>
      </c>
      <c r="AB133" s="1614"/>
      <c r="AC133" s="1614"/>
      <c r="AD133" s="1614"/>
      <c r="AE133" s="1614"/>
      <c r="AF133" s="1614"/>
      <c r="AG133" s="1614"/>
      <c r="AH133" s="1614"/>
      <c r="AI133" s="1614"/>
      <c r="AJ133" s="1614"/>
      <c r="AK133" s="1614"/>
      <c r="AM133" s="71"/>
      <c r="AS133" s="1614">
        <f>AS37</f>
        <v>0</v>
      </c>
      <c r="AT133" s="1614"/>
      <c r="AU133" s="1614"/>
      <c r="AV133" s="1614"/>
      <c r="AW133" s="1614"/>
      <c r="AX133" s="1614"/>
      <c r="AY133" s="1614"/>
      <c r="AZ133" s="1614"/>
      <c r="BA133" s="1614"/>
      <c r="BB133" s="1614"/>
      <c r="BC133" s="161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3">
        <f>IF(AA133&lt;10000,-2,-3)</f>
        <v>-2</v>
      </c>
      <c r="AB134" s="1653"/>
      <c r="AC134" s="1653"/>
      <c r="AD134" s="1653"/>
      <c r="AE134" s="1653"/>
      <c r="AF134" s="1653"/>
      <c r="AG134" s="1653"/>
      <c r="AH134" s="1653"/>
      <c r="AI134" s="1653"/>
      <c r="AJ134" s="1653"/>
      <c r="AK134" s="1653"/>
      <c r="AM134" s="71"/>
      <c r="AS134" s="1653">
        <f>IF(AS133&lt;10000,-2,-3)</f>
        <v>-2</v>
      </c>
      <c r="AT134" s="1653"/>
      <c r="AU134" s="1653"/>
      <c r="AV134" s="1653"/>
      <c r="AW134" s="1653"/>
      <c r="AX134" s="1653"/>
      <c r="AY134" s="1653"/>
      <c r="AZ134" s="1653"/>
      <c r="BA134" s="1653"/>
      <c r="BB134" s="1653"/>
      <c r="BC134" s="1653"/>
      <c r="BE134" s="71"/>
      <c r="BI134" s="250"/>
    </row>
    <row r="135" spans="1:140" s="27" customFormat="1" ht="17" hidden="1" customHeight="1" outlineLevel="1" x14ac:dyDescent="0.15">
      <c r="A135" s="201"/>
      <c r="C135" s="254"/>
      <c r="D135" s="55"/>
      <c r="E135" s="771"/>
      <c r="F135" s="120" t="s">
        <v>1305</v>
      </c>
      <c r="AA135" s="1653">
        <f>BN135</f>
        <v>0</v>
      </c>
      <c r="AB135" s="1653"/>
      <c r="AC135" s="1653"/>
      <c r="AD135" s="1653"/>
      <c r="AE135" s="1653"/>
      <c r="AF135" s="1653"/>
      <c r="AG135" s="1653"/>
      <c r="AH135" s="1653"/>
      <c r="AI135" s="1653"/>
      <c r="AJ135" s="1653"/>
      <c r="AK135" s="1653"/>
      <c r="AM135" s="93"/>
      <c r="AS135" s="1653">
        <f>BO135</f>
        <v>0</v>
      </c>
      <c r="AT135" s="1653"/>
      <c r="AU135" s="1653"/>
      <c r="AV135" s="1653"/>
      <c r="AW135" s="1653"/>
      <c r="AX135" s="1653"/>
      <c r="AY135" s="1653"/>
      <c r="AZ135" s="1653"/>
      <c r="BA135" s="1653"/>
      <c r="BB135" s="1653"/>
      <c r="BC135" s="1653"/>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Spese d'investimento</v>
      </c>
      <c r="S136" s="27" t="s">
        <v>209</v>
      </c>
      <c r="AA136" s="1657" t="str">
        <f>IF(AA135=1,ROUND(AA133,AA134),"-")</f>
        <v>-</v>
      </c>
      <c r="AB136" s="1657"/>
      <c r="AC136" s="1657"/>
      <c r="AD136" s="1657"/>
      <c r="AE136" s="1657"/>
      <c r="AF136" s="1657"/>
      <c r="AG136" s="1657"/>
      <c r="AH136" s="1657"/>
      <c r="AI136" s="1657"/>
      <c r="AJ136" s="1657"/>
      <c r="AK136" s="1657"/>
      <c r="AM136" s="93"/>
      <c r="AS136" s="1657" t="str">
        <f>IF(AS135=1,ROUND(AS133,AS134),"-")</f>
        <v>-</v>
      </c>
      <c r="AT136" s="1657"/>
      <c r="AU136" s="1657"/>
      <c r="AV136" s="1657"/>
      <c r="AW136" s="1657"/>
      <c r="AX136" s="1657"/>
      <c r="AY136" s="1657"/>
      <c r="AZ136" s="1657"/>
      <c r="BA136" s="1657"/>
      <c r="BB136" s="1657"/>
      <c r="BC136" s="1657"/>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7">
        <f>AA86*AA62</f>
        <v>0</v>
      </c>
      <c r="AB138" s="1657"/>
      <c r="AC138" s="1657"/>
      <c r="AD138" s="1657"/>
      <c r="AE138" s="1657"/>
      <c r="AF138" s="1657"/>
      <c r="AG138" s="1657"/>
      <c r="AH138" s="1657"/>
      <c r="AI138" s="1657"/>
      <c r="AJ138" s="1657"/>
      <c r="AK138" s="1657"/>
      <c r="AM138" s="93"/>
      <c r="AS138" s="1657">
        <f>AS86*AS62</f>
        <v>0</v>
      </c>
      <c r="AT138" s="1657"/>
      <c r="AU138" s="1657"/>
      <c r="AV138" s="1657"/>
      <c r="AW138" s="1657"/>
      <c r="AX138" s="1657"/>
      <c r="AY138" s="1657"/>
      <c r="AZ138" s="1657"/>
      <c r="BA138" s="1657"/>
      <c r="BB138" s="1657"/>
      <c r="BC138" s="1657"/>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3">
        <f>IF(AA138&lt;10000,-2,-3)</f>
        <v>-2</v>
      </c>
      <c r="AB139" s="1653"/>
      <c r="AC139" s="1653"/>
      <c r="AD139" s="1653"/>
      <c r="AE139" s="1653"/>
      <c r="AF139" s="1653"/>
      <c r="AG139" s="1653"/>
      <c r="AH139" s="1653"/>
      <c r="AI139" s="1653"/>
      <c r="AJ139" s="1653"/>
      <c r="AK139" s="1653"/>
      <c r="AM139" s="93"/>
      <c r="AS139" s="1653">
        <f>IF(AS138&lt;10000,-2,-3)</f>
        <v>-2</v>
      </c>
      <c r="AT139" s="1653"/>
      <c r="AU139" s="1653"/>
      <c r="AV139" s="1653"/>
      <c r="AW139" s="1653"/>
      <c r="AX139" s="1653"/>
      <c r="AY139" s="1653"/>
      <c r="AZ139" s="1653"/>
      <c r="BA139" s="1653"/>
      <c r="BB139" s="1653"/>
      <c r="BC139" s="1653"/>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3">
        <f>BN140</f>
        <v>0</v>
      </c>
      <c r="AB140" s="1653"/>
      <c r="AC140" s="1653"/>
      <c r="AD140" s="1653"/>
      <c r="AE140" s="1653"/>
      <c r="AF140" s="1653"/>
      <c r="AG140" s="1653"/>
      <c r="AH140" s="1653"/>
      <c r="AI140" s="1653"/>
      <c r="AJ140" s="1653"/>
      <c r="AK140" s="1653"/>
      <c r="AM140" s="93"/>
      <c r="AS140" s="1653">
        <f>BO140</f>
        <v>0</v>
      </c>
      <c r="AT140" s="1653"/>
      <c r="AU140" s="1653"/>
      <c r="AV140" s="1653"/>
      <c r="AW140" s="1653"/>
      <c r="AX140" s="1653"/>
      <c r="AY140" s="1653"/>
      <c r="AZ140" s="1653"/>
      <c r="BA140" s="1653"/>
      <c r="BB140" s="1653"/>
      <c r="BC140" s="1653"/>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Spese di manutenzione</v>
      </c>
      <c r="S141" s="27" t="s">
        <v>209</v>
      </c>
      <c r="AA141" s="1657" t="str">
        <f>IF(AA140=1,ROUND(AA138,AA139),"-")</f>
        <v>-</v>
      </c>
      <c r="AB141" s="1657"/>
      <c r="AC141" s="1657"/>
      <c r="AD141" s="1657"/>
      <c r="AE141" s="1657"/>
      <c r="AF141" s="1657"/>
      <c r="AG141" s="1657"/>
      <c r="AH141" s="1657"/>
      <c r="AI141" s="1657"/>
      <c r="AJ141" s="1657"/>
      <c r="AK141" s="1657"/>
      <c r="AM141" s="93"/>
      <c r="AS141" s="1657" t="str">
        <f>IF(AS140=1,ROUND(AS138,AS139),"-")</f>
        <v>-</v>
      </c>
      <c r="AT141" s="1657"/>
      <c r="AU141" s="1657"/>
      <c r="AV141" s="1657"/>
      <c r="AW141" s="1657"/>
      <c r="AX141" s="1657"/>
      <c r="AY141" s="1657"/>
      <c r="AZ141" s="1657"/>
      <c r="BA141" s="1657"/>
      <c r="BB141" s="1657"/>
      <c r="BC141" s="1657"/>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7">
        <f>AA92*AA62</f>
        <v>0</v>
      </c>
      <c r="AB143" s="1657"/>
      <c r="AC143" s="1657"/>
      <c r="AD143" s="1657"/>
      <c r="AE143" s="1657"/>
      <c r="AF143" s="1657"/>
      <c r="AG143" s="1657"/>
      <c r="AH143" s="1657"/>
      <c r="AI143" s="1657"/>
      <c r="AJ143" s="1657"/>
      <c r="AK143" s="1657"/>
      <c r="AM143" s="93"/>
      <c r="AS143" s="1657">
        <f>AS92*AS62</f>
        <v>0</v>
      </c>
      <c r="AT143" s="1657"/>
      <c r="AU143" s="1657"/>
      <c r="AV143" s="1657"/>
      <c r="AW143" s="1657"/>
      <c r="AX143" s="1657"/>
      <c r="AY143" s="1657"/>
      <c r="AZ143" s="1657"/>
      <c r="BA143" s="1657"/>
      <c r="BB143" s="1657"/>
      <c r="BC143" s="1657"/>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3">
        <f>IF(AA143&lt;10000,-2,-3)</f>
        <v>-2</v>
      </c>
      <c r="AB144" s="1653"/>
      <c r="AC144" s="1653"/>
      <c r="AD144" s="1653"/>
      <c r="AE144" s="1653"/>
      <c r="AF144" s="1653"/>
      <c r="AG144" s="1653"/>
      <c r="AH144" s="1653"/>
      <c r="AI144" s="1653"/>
      <c r="AJ144" s="1653"/>
      <c r="AK144" s="1653"/>
      <c r="AM144" s="93"/>
      <c r="AS144" s="1653">
        <f>IF(AS143&lt;10000,-2,-3)</f>
        <v>-2</v>
      </c>
      <c r="AT144" s="1653"/>
      <c r="AU144" s="1653"/>
      <c r="AV144" s="1653"/>
      <c r="AW144" s="1653"/>
      <c r="AX144" s="1653"/>
      <c r="AY144" s="1653"/>
      <c r="AZ144" s="1653"/>
      <c r="BA144" s="1653"/>
      <c r="BB144" s="1653"/>
      <c r="BC144" s="1653"/>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3">
        <f>BN145</f>
        <v>0</v>
      </c>
      <c r="AB145" s="1653"/>
      <c r="AC145" s="1653"/>
      <c r="AD145" s="1653"/>
      <c r="AE145" s="1653"/>
      <c r="AF145" s="1653"/>
      <c r="AG145" s="1653"/>
      <c r="AH145" s="1653"/>
      <c r="AI145" s="1653"/>
      <c r="AJ145" s="1653"/>
      <c r="AK145" s="1653"/>
      <c r="AM145" s="93"/>
      <c r="AS145" s="1653">
        <f>BO145</f>
        <v>0</v>
      </c>
      <c r="AT145" s="1653"/>
      <c r="AU145" s="1653"/>
      <c r="AV145" s="1653"/>
      <c r="AW145" s="1653"/>
      <c r="AX145" s="1653"/>
      <c r="AY145" s="1653"/>
      <c r="AZ145" s="1653"/>
      <c r="BA145" s="1653"/>
      <c r="BB145" s="1653"/>
      <c r="BC145" s="1653"/>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Costi energetici impianto di refrigerazione</v>
      </c>
      <c r="S146" s="27" t="s">
        <v>209</v>
      </c>
      <c r="AA146" s="1657" t="str">
        <f>IF(AA145=1,ROUND(AA143,AA144),"-")</f>
        <v>-</v>
      </c>
      <c r="AB146" s="1657"/>
      <c r="AC146" s="1657"/>
      <c r="AD146" s="1657"/>
      <c r="AE146" s="1657"/>
      <c r="AF146" s="1657"/>
      <c r="AG146" s="1657"/>
      <c r="AH146" s="1657"/>
      <c r="AI146" s="1657"/>
      <c r="AJ146" s="1657"/>
      <c r="AK146" s="1657"/>
      <c r="AM146" s="93"/>
      <c r="AS146" s="1657" t="str">
        <f>IF(AS145=1,ROUND(AS143,AS144),"-")</f>
        <v>-</v>
      </c>
      <c r="AT146" s="1657"/>
      <c r="AU146" s="1657"/>
      <c r="AV146" s="1657"/>
      <c r="AW146" s="1657"/>
      <c r="AX146" s="1657"/>
      <c r="AY146" s="1657"/>
      <c r="AZ146" s="1657"/>
      <c r="BA146" s="1657"/>
      <c r="BB146" s="1657"/>
      <c r="BC146" s="1657"/>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7">
        <f>AA100*AA62</f>
        <v>0</v>
      </c>
      <c r="AB148" s="1657"/>
      <c r="AC148" s="1657"/>
      <c r="AD148" s="1657"/>
      <c r="AE148" s="1657"/>
      <c r="AF148" s="1657"/>
      <c r="AG148" s="1657"/>
      <c r="AH148" s="1657"/>
      <c r="AI148" s="1657"/>
      <c r="AJ148" s="1657"/>
      <c r="AK148" s="1657"/>
      <c r="AM148" s="93"/>
      <c r="AS148" s="1657">
        <f>AS100*AS62</f>
        <v>0</v>
      </c>
      <c r="AT148" s="1657"/>
      <c r="AU148" s="1657"/>
      <c r="AV148" s="1657"/>
      <c r="AW148" s="1657"/>
      <c r="AX148" s="1657"/>
      <c r="AY148" s="1657"/>
      <c r="AZ148" s="1657"/>
      <c r="BA148" s="1657"/>
      <c r="BB148" s="1657"/>
      <c r="BC148" s="1657"/>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3">
        <f>IF(AA148&lt;10000,-2,-3)</f>
        <v>-2</v>
      </c>
      <c r="AB149" s="1653"/>
      <c r="AC149" s="1653"/>
      <c r="AD149" s="1653"/>
      <c r="AE149" s="1653"/>
      <c r="AF149" s="1653"/>
      <c r="AG149" s="1653"/>
      <c r="AH149" s="1653"/>
      <c r="AI149" s="1653"/>
      <c r="AJ149" s="1653"/>
      <c r="AK149" s="1653"/>
      <c r="AM149" s="93"/>
      <c r="AS149" s="1653">
        <f>IF(AS148&lt;10000,-2,-3)</f>
        <v>-2</v>
      </c>
      <c r="AT149" s="1653"/>
      <c r="AU149" s="1653"/>
      <c r="AV149" s="1653"/>
      <c r="AW149" s="1653"/>
      <c r="AX149" s="1653"/>
      <c r="AY149" s="1653"/>
      <c r="AZ149" s="1653"/>
      <c r="BA149" s="1653"/>
      <c r="BB149" s="1653"/>
      <c r="BC149" s="1653"/>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3">
        <f>BN150</f>
        <v>0</v>
      </c>
      <c r="AB150" s="1653"/>
      <c r="AC150" s="1653"/>
      <c r="AD150" s="1653"/>
      <c r="AE150" s="1653"/>
      <c r="AF150" s="1653"/>
      <c r="AG150" s="1653"/>
      <c r="AH150" s="1653"/>
      <c r="AI150" s="1653"/>
      <c r="AJ150" s="1653"/>
      <c r="AK150" s="1653"/>
      <c r="AM150" s="93"/>
      <c r="AS150" s="1653">
        <f>BO150</f>
        <v>0</v>
      </c>
      <c r="AT150" s="1653"/>
      <c r="AU150" s="1653"/>
      <c r="AV150" s="1653"/>
      <c r="AW150" s="1653"/>
      <c r="AX150" s="1653"/>
      <c r="AY150" s="1653"/>
      <c r="AZ150" s="1653"/>
      <c r="BA150" s="1653"/>
      <c r="BB150" s="1653"/>
      <c r="BC150" s="1653"/>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Il free-cooling riduce i costi energetici di</v>
      </c>
      <c r="S151" s="27" t="s">
        <v>209</v>
      </c>
      <c r="AA151" s="1657" t="str">
        <f>IF(AA150=1,ROUND(-AA148,AA149),"-")</f>
        <v>-</v>
      </c>
      <c r="AB151" s="1657"/>
      <c r="AC151" s="1657"/>
      <c r="AD151" s="1657"/>
      <c r="AE151" s="1657"/>
      <c r="AF151" s="1657"/>
      <c r="AG151" s="1657"/>
      <c r="AH151" s="1657"/>
      <c r="AI151" s="1657"/>
      <c r="AJ151" s="1657"/>
      <c r="AK151" s="1657"/>
      <c r="AL151" s="1657"/>
      <c r="AM151" s="1657"/>
      <c r="AN151" s="1657"/>
      <c r="AO151" s="1657"/>
      <c r="AP151" s="1657"/>
      <c r="AS151" s="1657" t="str">
        <f>IF(AS150=1,ROUND(-AS148,AS149),"-")</f>
        <v>-</v>
      </c>
      <c r="AT151" s="1657"/>
      <c r="AU151" s="1657"/>
      <c r="AV151" s="1657"/>
      <c r="AW151" s="1657"/>
      <c r="AX151" s="1657"/>
      <c r="AY151" s="1657"/>
      <c r="AZ151" s="1657"/>
      <c r="BA151" s="1657"/>
      <c r="BB151" s="1657"/>
      <c r="BC151" s="1657"/>
      <c r="BD151" s="1657"/>
      <c r="BE151" s="1657"/>
      <c r="BF151" s="1657"/>
      <c r="BG151" s="1657"/>
      <c r="BH151" s="1657"/>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Risparmio grazie al recupero del calore</v>
      </c>
      <c r="S153" s="27" t="s">
        <v>209</v>
      </c>
      <c r="AA153" s="1657">
        <f>AA109*AA62</f>
        <v>0</v>
      </c>
      <c r="AB153" s="1657"/>
      <c r="AC153" s="1657"/>
      <c r="AD153" s="1657"/>
      <c r="AE153" s="1657"/>
      <c r="AF153" s="1657"/>
      <c r="AG153" s="1657"/>
      <c r="AH153" s="1657"/>
      <c r="AI153" s="1657"/>
      <c r="AJ153" s="1657"/>
      <c r="AK153" s="1657"/>
      <c r="AM153" s="93"/>
      <c r="AS153" s="1657">
        <f>AS109*AS62</f>
        <v>0</v>
      </c>
      <c r="AT153" s="1657"/>
      <c r="AU153" s="1657"/>
      <c r="AV153" s="1657"/>
      <c r="AW153" s="1657"/>
      <c r="AX153" s="1657"/>
      <c r="AY153" s="1657"/>
      <c r="AZ153" s="1657"/>
      <c r="BA153" s="1657"/>
      <c r="BB153" s="1657"/>
      <c r="BC153" s="1657"/>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3">
        <f>IF(AA153&gt;-10000,-2,-3)</f>
        <v>-2</v>
      </c>
      <c r="AB154" s="1653"/>
      <c r="AC154" s="1653"/>
      <c r="AD154" s="1653"/>
      <c r="AE154" s="1653"/>
      <c r="AF154" s="1653"/>
      <c r="AG154" s="1653"/>
      <c r="AH154" s="1653"/>
      <c r="AI154" s="1653"/>
      <c r="AJ154" s="1653"/>
      <c r="AK154" s="1653"/>
      <c r="AM154" s="93"/>
      <c r="AS154" s="1653">
        <f>IF(AS153&gt;-10000,-2,-3)</f>
        <v>-2</v>
      </c>
      <c r="AT154" s="1653"/>
      <c r="AU154" s="1653"/>
      <c r="AV154" s="1653"/>
      <c r="AW154" s="1653"/>
      <c r="AX154" s="1653"/>
      <c r="AY154" s="1653"/>
      <c r="AZ154" s="1653"/>
      <c r="BA154" s="1653"/>
      <c r="BB154" s="1653"/>
      <c r="BC154" s="1653"/>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3">
        <f>BN155</f>
        <v>0</v>
      </c>
      <c r="AB155" s="1653"/>
      <c r="AC155" s="1653"/>
      <c r="AD155" s="1653"/>
      <c r="AE155" s="1653"/>
      <c r="AF155" s="1653"/>
      <c r="AG155" s="1653"/>
      <c r="AH155" s="1653"/>
      <c r="AI155" s="1653"/>
      <c r="AJ155" s="1653"/>
      <c r="AK155" s="1653"/>
      <c r="AM155" s="93"/>
      <c r="AS155" s="1653">
        <f>BO155</f>
        <v>0</v>
      </c>
      <c r="AT155" s="1653"/>
      <c r="AU155" s="1653"/>
      <c r="AV155" s="1653"/>
      <c r="AW155" s="1653"/>
      <c r="AX155" s="1653"/>
      <c r="AY155" s="1653"/>
      <c r="AZ155" s="1653"/>
      <c r="BA155" s="1653"/>
      <c r="BB155" s="1653"/>
      <c r="BC155" s="1653"/>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Risparmio grazie al recupero del calore</v>
      </c>
      <c r="S156" s="27" t="s">
        <v>209</v>
      </c>
      <c r="AA156" s="1667" t="str">
        <f>IF(AA155=1,ROUND(-AA153,AA154),"-")</f>
        <v>-</v>
      </c>
      <c r="AB156" s="1667"/>
      <c r="AC156" s="1667"/>
      <c r="AD156" s="1667"/>
      <c r="AE156" s="1667"/>
      <c r="AF156" s="1667"/>
      <c r="AG156" s="1667"/>
      <c r="AH156" s="1667"/>
      <c r="AI156" s="1667"/>
      <c r="AJ156" s="1667"/>
      <c r="AK156" s="1667"/>
      <c r="AM156" s="93"/>
      <c r="AS156" s="1667" t="str">
        <f>IF(AS155=1,ROUND(-AS153,AS154),"-")</f>
        <v>-</v>
      </c>
      <c r="AT156" s="1667"/>
      <c r="AU156" s="1667"/>
      <c r="AV156" s="1667"/>
      <c r="AW156" s="1667"/>
      <c r="AX156" s="1667"/>
      <c r="AY156" s="1667"/>
      <c r="AZ156" s="1667"/>
      <c r="BA156" s="1667"/>
      <c r="BB156" s="1667"/>
      <c r="BC156" s="1667"/>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Costi del ciclo vitale (liv. economico)</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64" t="str">
        <f>IF(AA155=1,AA136+AA141+AA156+AA151+AA146,"-")</f>
        <v>-</v>
      </c>
      <c r="AB157" s="1664"/>
      <c r="AC157" s="1664"/>
      <c r="AD157" s="1664"/>
      <c r="AE157" s="1664"/>
      <c r="AF157" s="1664"/>
      <c r="AG157" s="1664"/>
      <c r="AH157" s="1664"/>
      <c r="AI157" s="1664"/>
      <c r="AJ157" s="1664"/>
      <c r="AK157" s="1664"/>
      <c r="AL157" s="124"/>
      <c r="AM157" s="1666" t="e">
        <f>IF(AA157=0,0,AA157/AA157)</f>
        <v>#VALUE!</v>
      </c>
      <c r="AN157" s="1666"/>
      <c r="AO157" s="1666"/>
      <c r="AP157" s="124"/>
      <c r="AQ157" s="124"/>
      <c r="AR157" s="124"/>
      <c r="AS157" s="1664" t="str">
        <f>IF(AS155=1,AS136+AS141+AS156+AS151+AS146,"-")</f>
        <v>-</v>
      </c>
      <c r="AT157" s="1664"/>
      <c r="AU157" s="1664"/>
      <c r="AV157" s="1664"/>
      <c r="AW157" s="1664"/>
      <c r="AX157" s="1664"/>
      <c r="AY157" s="1664"/>
      <c r="AZ157" s="1664"/>
      <c r="BA157" s="1664"/>
      <c r="BB157" s="1664"/>
      <c r="BC157" s="1664"/>
      <c r="BE157" s="1666" t="e">
        <f>IF(AA157=0,0,AS157/AA157)</f>
        <v>#VALUE!</v>
      </c>
      <c r="BF157" s="1666"/>
      <c r="BG157" s="1666"/>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Costi del ciclo vitale (funzionamento con CO2 neutro)</v>
      </c>
      <c r="AM159" s="71"/>
      <c r="BE159" s="71"/>
      <c r="BI159" s="250"/>
    </row>
    <row r="160" spans="1:140" s="27" customFormat="1" ht="17" hidden="1" customHeight="1" outlineLevel="1" x14ac:dyDescent="0.15">
      <c r="A160" s="201"/>
      <c r="C160" s="254"/>
      <c r="D160" s="55"/>
      <c r="E160" s="771" t="str">
        <f t="shared" ref="E160:E166" si="0">E118</f>
        <v>Spese d'investimento</v>
      </c>
      <c r="S160" s="27" t="s">
        <v>209</v>
      </c>
      <c r="AA160" s="1657" t="str">
        <f>AA136</f>
        <v>-</v>
      </c>
      <c r="AB160" s="1657"/>
      <c r="AC160" s="1657"/>
      <c r="AD160" s="1657"/>
      <c r="AE160" s="1657"/>
      <c r="AF160" s="1657"/>
      <c r="AG160" s="1657"/>
      <c r="AH160" s="1657"/>
      <c r="AI160" s="1657"/>
      <c r="AJ160" s="1657"/>
      <c r="AK160" s="1657"/>
      <c r="AM160" s="93"/>
      <c r="AS160" s="1657" t="str">
        <f>AS136</f>
        <v>-</v>
      </c>
      <c r="AT160" s="1657"/>
      <c r="AU160" s="1657"/>
      <c r="AV160" s="1657"/>
      <c r="AW160" s="1657"/>
      <c r="AX160" s="1657"/>
      <c r="AY160" s="1657"/>
      <c r="AZ160" s="1657"/>
      <c r="BA160" s="1657"/>
      <c r="BB160" s="1657"/>
      <c r="BC160" s="1657"/>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Spese di manutenzione</v>
      </c>
      <c r="S161" s="27" t="s">
        <v>209</v>
      </c>
      <c r="AA161" s="1657" t="str">
        <f>AA141</f>
        <v>-</v>
      </c>
      <c r="AB161" s="1657"/>
      <c r="AC161" s="1657"/>
      <c r="AD161" s="1657"/>
      <c r="AE161" s="1657"/>
      <c r="AF161" s="1657"/>
      <c r="AG161" s="1657"/>
      <c r="AH161" s="1657"/>
      <c r="AI161" s="1657"/>
      <c r="AJ161" s="1657"/>
      <c r="AK161" s="1657"/>
      <c r="AM161" s="93"/>
      <c r="AS161" s="1657" t="str">
        <f>AS141</f>
        <v>-</v>
      </c>
      <c r="AT161" s="1657"/>
      <c r="AU161" s="1657"/>
      <c r="AV161" s="1657"/>
      <c r="AW161" s="1657"/>
      <c r="AX161" s="1657"/>
      <c r="AY161" s="1657"/>
      <c r="AZ161" s="1657"/>
      <c r="BA161" s="1657"/>
      <c r="BB161" s="1657"/>
      <c r="BC161" s="1657"/>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Costi energetici impianto di refrigerazione</v>
      </c>
      <c r="S162" s="27" t="s">
        <v>209</v>
      </c>
      <c r="AA162" s="1657" t="str">
        <f>AA146</f>
        <v>-</v>
      </c>
      <c r="AB162" s="1657"/>
      <c r="AC162" s="1657"/>
      <c r="AD162" s="1657"/>
      <c r="AE162" s="1657"/>
      <c r="AF162" s="1657"/>
      <c r="AG162" s="1657"/>
      <c r="AH162" s="1657"/>
      <c r="AI162" s="1657"/>
      <c r="AJ162" s="1657"/>
      <c r="AK162" s="1657"/>
      <c r="AM162" s="93"/>
      <c r="AS162" s="1657" t="str">
        <f>AS146</f>
        <v>-</v>
      </c>
      <c r="AT162" s="1657"/>
      <c r="AU162" s="1657"/>
      <c r="AV162" s="1657"/>
      <c r="AW162" s="1657"/>
      <c r="AX162" s="1657"/>
      <c r="AY162" s="1657"/>
      <c r="AZ162" s="1657"/>
      <c r="BA162" s="1657"/>
      <c r="BB162" s="1657"/>
      <c r="BC162" s="1657"/>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Risparmio grazie al recupero del calore</v>
      </c>
      <c r="S163" s="27" t="s">
        <v>209</v>
      </c>
      <c r="AA163" s="1657" t="str">
        <f>AA156</f>
        <v>-</v>
      </c>
      <c r="AB163" s="1657"/>
      <c r="AC163" s="1657"/>
      <c r="AD163" s="1657"/>
      <c r="AE163" s="1657"/>
      <c r="AF163" s="1657"/>
      <c r="AG163" s="1657"/>
      <c r="AH163" s="1657"/>
      <c r="AI163" s="1657"/>
      <c r="AJ163" s="1657"/>
      <c r="AK163" s="1657"/>
      <c r="AM163" s="93"/>
      <c r="AS163" s="1657" t="str">
        <f>AS156</f>
        <v>-</v>
      </c>
      <c r="AT163" s="1657"/>
      <c r="AU163" s="1657"/>
      <c r="AV163" s="1657"/>
      <c r="AW163" s="1657"/>
      <c r="AX163" s="1657"/>
      <c r="AY163" s="1657"/>
      <c r="AZ163" s="1657"/>
      <c r="BA163" s="1657"/>
      <c r="BB163" s="1657"/>
      <c r="BC163" s="1657"/>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7">
        <f>AA123*AA62</f>
        <v>0</v>
      </c>
      <c r="AB165" s="1657"/>
      <c r="AC165" s="1657"/>
      <c r="AD165" s="1657"/>
      <c r="AE165" s="1657"/>
      <c r="AF165" s="1657"/>
      <c r="AG165" s="1657"/>
      <c r="AH165" s="1657"/>
      <c r="AI165" s="1657"/>
      <c r="AJ165" s="1657"/>
      <c r="AK165" s="1657"/>
      <c r="AM165" s="93"/>
      <c r="AS165" s="1657">
        <f>AS123*AS62</f>
        <v>0</v>
      </c>
      <c r="AT165" s="1657"/>
      <c r="AU165" s="1657"/>
      <c r="AV165" s="1657"/>
      <c r="AW165" s="1657"/>
      <c r="AX165" s="1657"/>
      <c r="AY165" s="1657"/>
      <c r="AZ165" s="1657"/>
      <c r="BA165" s="1657"/>
      <c r="BB165" s="1657"/>
      <c r="BC165" s="1657"/>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3">
        <f>IF(AA165&lt;10000,-2,-3)</f>
        <v>-2</v>
      </c>
      <c r="AB166" s="1653"/>
      <c r="AC166" s="1653"/>
      <c r="AD166" s="1653"/>
      <c r="AE166" s="1653"/>
      <c r="AF166" s="1653"/>
      <c r="AG166" s="1653"/>
      <c r="AH166" s="1653"/>
      <c r="AI166" s="1653"/>
      <c r="AJ166" s="1653"/>
      <c r="AK166" s="1653"/>
      <c r="AM166" s="93"/>
      <c r="AS166" s="1653">
        <f>IF(AS165&lt;10000,-2,-3)</f>
        <v>-2</v>
      </c>
      <c r="AT166" s="1653"/>
      <c r="AU166" s="1653"/>
      <c r="AV166" s="1653"/>
      <c r="AW166" s="1653"/>
      <c r="AX166" s="1653"/>
      <c r="AY166" s="1653"/>
      <c r="AZ166" s="1653"/>
      <c r="BA166" s="1653"/>
      <c r="BB166" s="1653"/>
      <c r="BC166" s="1653"/>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3">
        <f>BN167</f>
        <v>0</v>
      </c>
      <c r="AB167" s="1653"/>
      <c r="AC167" s="1653"/>
      <c r="AD167" s="1653"/>
      <c r="AE167" s="1653"/>
      <c r="AF167" s="1653"/>
      <c r="AG167" s="1653"/>
      <c r="AH167" s="1653"/>
      <c r="AI167" s="1653"/>
      <c r="AJ167" s="1653"/>
      <c r="AK167" s="1653"/>
      <c r="AM167" s="93"/>
      <c r="AS167" s="1653">
        <f>BO167</f>
        <v>0</v>
      </c>
      <c r="AT167" s="1653"/>
      <c r="AU167" s="1653"/>
      <c r="AV167" s="1653"/>
      <c r="AW167" s="1653"/>
      <c r="AX167" s="1653"/>
      <c r="AY167" s="1653"/>
      <c r="AZ167" s="1653"/>
      <c r="BA167" s="1653"/>
      <c r="BB167" s="1653"/>
      <c r="BC167" s="1653"/>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Spese di compensazione CO2</v>
      </c>
      <c r="S168" s="27" t="s">
        <v>209</v>
      </c>
      <c r="AA168" s="1667" t="str">
        <f>IF(AA167=1,ROUND(AA165,AA166),"-")</f>
        <v>-</v>
      </c>
      <c r="AB168" s="1667"/>
      <c r="AC168" s="1667"/>
      <c r="AD168" s="1667"/>
      <c r="AE168" s="1667"/>
      <c r="AF168" s="1667"/>
      <c r="AG168" s="1667"/>
      <c r="AH168" s="1667"/>
      <c r="AI168" s="1667"/>
      <c r="AJ168" s="1667"/>
      <c r="AK168" s="1667"/>
      <c r="AM168" s="93"/>
      <c r="AS168" s="1667" t="str">
        <f>IF(AS167=1,ROUND(AS165,AS166),"-")</f>
        <v>-</v>
      </c>
      <c r="AT168" s="1667"/>
      <c r="AU168" s="1667"/>
      <c r="AV168" s="1667"/>
      <c r="AW168" s="1667"/>
      <c r="AX168" s="1667"/>
      <c r="AY168" s="1667"/>
      <c r="AZ168" s="1667"/>
      <c r="BA168" s="1667"/>
      <c r="BB168" s="1667"/>
      <c r="BC168" s="1667"/>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Costi del ciclo vitale (funzionamento con CO2 neutro)</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64" t="str">
        <f>IF(AA167=1,AA157+AA168,"-")</f>
        <v>-</v>
      </c>
      <c r="AB169" s="1664"/>
      <c r="AC169" s="1664"/>
      <c r="AD169" s="1664"/>
      <c r="AE169" s="1664"/>
      <c r="AF169" s="1664"/>
      <c r="AG169" s="1664"/>
      <c r="AH169" s="1664"/>
      <c r="AI169" s="1664"/>
      <c r="AJ169" s="1664"/>
      <c r="AK169" s="1664"/>
      <c r="AL169" s="124"/>
      <c r="AM169" s="1666" t="e">
        <f>IF(AA169=0,0,AA169/AA169)</f>
        <v>#VALUE!</v>
      </c>
      <c r="AN169" s="1666"/>
      <c r="AO169" s="1666"/>
      <c r="AP169" s="124"/>
      <c r="AQ169" s="124"/>
      <c r="AR169" s="124"/>
      <c r="AS169" s="1664" t="str">
        <f>IF(AS167=1,AS157+AS168,"-")</f>
        <v>-</v>
      </c>
      <c r="AT169" s="1664"/>
      <c r="AU169" s="1664"/>
      <c r="AV169" s="1664"/>
      <c r="AW169" s="1664"/>
      <c r="AX169" s="1664"/>
      <c r="AY169" s="1664"/>
      <c r="AZ169" s="1664"/>
      <c r="BA169" s="1664"/>
      <c r="BB169" s="1664"/>
      <c r="BC169" s="1664"/>
      <c r="BD169" s="124"/>
      <c r="BE169" s="1666" t="e">
        <f>IF(AS169=0,0,AS169/AA169)</f>
        <v>#VALUE!</v>
      </c>
      <c r="BF169" s="1666"/>
      <c r="BG169" s="1666"/>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367" t="str">
        <f>X!C291</f>
        <v>in alto</v>
      </c>
      <c r="AX172" s="1367"/>
      <c r="AY172" s="1367"/>
      <c r="AZ172" s="1367"/>
      <c r="BA172" s="1367"/>
      <c r="BB172" s="1367"/>
      <c r="BC172" s="1367"/>
      <c r="BD172" s="1367"/>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82">
        <v>0.03</v>
      </c>
      <c r="AB175" s="1682"/>
      <c r="AC175" s="1682"/>
      <c r="AD175" s="1682"/>
      <c r="AE175" s="1682"/>
      <c r="AF175" s="1682"/>
      <c r="AG175" s="1682"/>
      <c r="AH175" s="1682"/>
      <c r="AI175" s="1682"/>
      <c r="AJ175" s="1682"/>
      <c r="AK175" s="1682"/>
      <c r="AM175" s="71"/>
      <c r="AS175" s="1682">
        <f>AA175</f>
        <v>0.03</v>
      </c>
      <c r="AT175" s="1682"/>
      <c r="AU175" s="1682"/>
      <c r="AV175" s="1682"/>
      <c r="AW175" s="1682"/>
      <c r="AX175" s="1682"/>
      <c r="AY175" s="1682"/>
      <c r="AZ175" s="1682"/>
      <c r="BA175" s="1682"/>
      <c r="BB175" s="1682"/>
      <c r="BC175" s="1682"/>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82">
        <v>0.02</v>
      </c>
      <c r="AB176" s="1682"/>
      <c r="AC176" s="1682"/>
      <c r="AD176" s="1682"/>
      <c r="AE176" s="1682"/>
      <c r="AF176" s="1682"/>
      <c r="AG176" s="1682"/>
      <c r="AH176" s="1682"/>
      <c r="AI176" s="1682"/>
      <c r="AJ176" s="1682"/>
      <c r="AK176" s="1682"/>
      <c r="AM176" s="71"/>
      <c r="AS176" s="1682">
        <f>AA176</f>
        <v>0.02</v>
      </c>
      <c r="AT176" s="1682"/>
      <c r="AU176" s="1682"/>
      <c r="AV176" s="1682"/>
      <c r="AW176" s="1682"/>
      <c r="AX176" s="1682"/>
      <c r="AY176" s="1682"/>
      <c r="AZ176" s="1682"/>
      <c r="BA176" s="1682"/>
      <c r="BB176" s="1682"/>
      <c r="BC176" s="1682"/>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82">
        <f>IF(AA32=1,0.01,0)</f>
        <v>0</v>
      </c>
      <c r="AB177" s="1682"/>
      <c r="AC177" s="1682"/>
      <c r="AD177" s="1682"/>
      <c r="AE177" s="1682"/>
      <c r="AF177" s="1682"/>
      <c r="AG177" s="1682"/>
      <c r="AH177" s="1682"/>
      <c r="AI177" s="1682"/>
      <c r="AJ177" s="1682"/>
      <c r="AK177" s="1682"/>
      <c r="AM177" s="1683"/>
      <c r="AN177" s="1683"/>
      <c r="AO177" s="1683"/>
      <c r="AS177" s="1682">
        <f>IF(AS32=1,0.01,0)</f>
        <v>0</v>
      </c>
      <c r="AT177" s="1682"/>
      <c r="AU177" s="1682"/>
      <c r="AV177" s="1682"/>
      <c r="AW177" s="1682"/>
      <c r="AX177" s="1682"/>
      <c r="AY177" s="1682"/>
      <c r="AZ177" s="1682"/>
      <c r="BA177" s="1682"/>
      <c r="BB177" s="1682"/>
      <c r="BC177" s="1682"/>
      <c r="BE177" s="1683"/>
      <c r="BF177" s="1683"/>
      <c r="BG177" s="1683"/>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82">
        <f>AA175+AA177</f>
        <v>0.03</v>
      </c>
      <c r="AB179" s="1682"/>
      <c r="AC179" s="1682"/>
      <c r="AD179" s="1682"/>
      <c r="AE179" s="1682"/>
      <c r="AF179" s="1682"/>
      <c r="AG179" s="1682"/>
      <c r="AH179" s="1682"/>
      <c r="AI179" s="1682"/>
      <c r="AJ179" s="1682"/>
      <c r="AK179" s="1682"/>
      <c r="AM179" s="71"/>
      <c r="AS179" s="1682">
        <f>AS175+AS177</f>
        <v>0.03</v>
      </c>
      <c r="AT179" s="1682"/>
      <c r="AU179" s="1682"/>
      <c r="AV179" s="1682"/>
      <c r="AW179" s="1682"/>
      <c r="AX179" s="1682"/>
      <c r="AY179" s="1682"/>
      <c r="AZ179" s="1682"/>
      <c r="BA179" s="1682"/>
      <c r="BB179" s="1682"/>
      <c r="BC179" s="1682"/>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82">
        <f>AA176+AA177</f>
        <v>0.02</v>
      </c>
      <c r="AB180" s="1682"/>
      <c r="AC180" s="1682"/>
      <c r="AD180" s="1682"/>
      <c r="AE180" s="1682"/>
      <c r="AF180" s="1682"/>
      <c r="AG180" s="1682"/>
      <c r="AH180" s="1682"/>
      <c r="AI180" s="1682"/>
      <c r="AJ180" s="1682"/>
      <c r="AK180" s="1682"/>
      <c r="AM180" s="71"/>
      <c r="AS180" s="1682">
        <f>AS176+AS177</f>
        <v>0.02</v>
      </c>
      <c r="AT180" s="1682"/>
      <c r="AU180" s="1682"/>
      <c r="AV180" s="1682"/>
      <c r="AW180" s="1682"/>
      <c r="AX180" s="1682"/>
      <c r="AY180" s="1682"/>
      <c r="AZ180" s="1682"/>
      <c r="BA180" s="1682"/>
      <c r="BB180" s="1682"/>
      <c r="BC180" s="1682"/>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7">
        <v>1000</v>
      </c>
      <c r="AB181" s="1657"/>
      <c r="AC181" s="1657"/>
      <c r="AD181" s="1657"/>
      <c r="AE181" s="1657"/>
      <c r="AF181" s="1657"/>
      <c r="AG181" s="1657"/>
      <c r="AH181" s="1657"/>
      <c r="AI181" s="1657"/>
      <c r="AJ181" s="1657"/>
      <c r="AK181" s="1657"/>
      <c r="AM181" s="71"/>
      <c r="AS181" s="1657">
        <f>AA181</f>
        <v>1000</v>
      </c>
      <c r="AT181" s="1657"/>
      <c r="AU181" s="1657"/>
      <c r="AV181" s="1657"/>
      <c r="AW181" s="1657"/>
      <c r="AX181" s="1657"/>
      <c r="AY181" s="1657"/>
      <c r="AZ181" s="1657"/>
      <c r="BA181" s="1657"/>
      <c r="BB181" s="1657"/>
      <c r="BC181" s="1657"/>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7">
        <v>200000</v>
      </c>
      <c r="AB182" s="1657"/>
      <c r="AC182" s="1657"/>
      <c r="AD182" s="1657"/>
      <c r="AE182" s="1657"/>
      <c r="AF182" s="1657"/>
      <c r="AG182" s="1657"/>
      <c r="AH182" s="1657"/>
      <c r="AI182" s="1657"/>
      <c r="AJ182" s="1657"/>
      <c r="AK182" s="1657"/>
      <c r="AM182" s="71"/>
      <c r="AS182" s="1657">
        <f>AA182</f>
        <v>200000</v>
      </c>
      <c r="AT182" s="1657"/>
      <c r="AU182" s="1657"/>
      <c r="AV182" s="1657"/>
      <c r="AW182" s="1657"/>
      <c r="AX182" s="1657"/>
      <c r="AY182" s="1657"/>
      <c r="AZ182" s="1657"/>
      <c r="BA182" s="1657"/>
      <c r="BB182" s="1657"/>
      <c r="BC182" s="1657"/>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64">
        <f>IF(AA37=0,0,IF(AA37&lt;AA182,AA181+AA37*AA179,AA181+AA182*AA179+(AA37-AA182)*AA180))</f>
        <v>0</v>
      </c>
      <c r="AB183" s="1664"/>
      <c r="AC183" s="1664"/>
      <c r="AD183" s="1664"/>
      <c r="AE183" s="1664"/>
      <c r="AF183" s="1664"/>
      <c r="AG183" s="1664"/>
      <c r="AH183" s="1664"/>
      <c r="AI183" s="1664"/>
      <c r="AJ183" s="1664"/>
      <c r="AK183" s="1664"/>
      <c r="AL183" s="179"/>
      <c r="AM183" s="298"/>
      <c r="AN183" s="179"/>
      <c r="AO183" s="179"/>
      <c r="AP183" s="179"/>
      <c r="AQ183" s="179"/>
      <c r="AR183" s="179"/>
      <c r="AS183" s="1664">
        <f>IF(AS37=0,0,IF(AS37&lt;AS182,AS181+AS37*AS179,AS181+AS182*AS179+(AS37-AS182)*AS180))</f>
        <v>0</v>
      </c>
      <c r="AT183" s="1664"/>
      <c r="AU183" s="1664"/>
      <c r="AV183" s="1664"/>
      <c r="AW183" s="1664"/>
      <c r="AX183" s="1664"/>
      <c r="AY183" s="1664"/>
      <c r="AZ183" s="1664"/>
      <c r="BA183" s="1664"/>
      <c r="BB183" s="1664"/>
      <c r="BC183" s="1664"/>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64">
        <f>AA45</f>
        <v>0</v>
      </c>
      <c r="AB186" s="1664"/>
      <c r="AC186" s="1664"/>
      <c r="AD186" s="1664"/>
      <c r="AE186" s="1664"/>
      <c r="AF186" s="1664"/>
      <c r="AG186" s="1664"/>
      <c r="AH186" s="1664"/>
      <c r="AI186" s="1664"/>
      <c r="AJ186" s="1664"/>
      <c r="AK186" s="1664"/>
      <c r="AL186" s="179"/>
      <c r="AM186" s="298"/>
      <c r="AN186" s="179"/>
      <c r="AO186" s="179"/>
      <c r="AP186" s="179"/>
      <c r="AQ186" s="179"/>
      <c r="AR186" s="179"/>
      <c r="AS186" s="1664">
        <f>AS45</f>
        <v>0</v>
      </c>
      <c r="AT186" s="1664"/>
      <c r="AU186" s="1664"/>
      <c r="AV186" s="1664"/>
      <c r="AW186" s="1664"/>
      <c r="AX186" s="1664"/>
      <c r="AY186" s="1664"/>
      <c r="AZ186" s="1664"/>
      <c r="BA186" s="1664"/>
      <c r="BB186" s="1664"/>
      <c r="BC186" s="1664"/>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7">
        <f>AA43</f>
        <v>0</v>
      </c>
      <c r="AB189" s="1657"/>
      <c r="AC189" s="1657"/>
      <c r="AD189" s="1657"/>
      <c r="AE189" s="1657"/>
      <c r="AF189" s="1657"/>
      <c r="AG189" s="1657"/>
      <c r="AH189" s="1657"/>
      <c r="AI189" s="1657"/>
      <c r="AJ189" s="1657"/>
      <c r="AK189" s="1657"/>
      <c r="AM189" s="71"/>
      <c r="AS189" s="1657">
        <f>AS43</f>
        <v>0</v>
      </c>
      <c r="AT189" s="1657"/>
      <c r="AU189" s="1657"/>
      <c r="AV189" s="1657"/>
      <c r="AW189" s="1657"/>
      <c r="AX189" s="1657"/>
      <c r="AY189" s="1657"/>
      <c r="AZ189" s="1657"/>
      <c r="BA189" s="1657"/>
      <c r="BB189" s="1657"/>
      <c r="BC189" s="1657"/>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82">
        <v>0.5</v>
      </c>
      <c r="AB190" s="1682"/>
      <c r="AC190" s="1682"/>
      <c r="AD190" s="1682"/>
      <c r="AE190" s="1682"/>
      <c r="AF190" s="1682"/>
      <c r="AG190" s="1682"/>
      <c r="AH190" s="1682"/>
      <c r="AI190" s="1682"/>
      <c r="AJ190" s="1682"/>
      <c r="AK190" s="1682"/>
      <c r="AM190" s="71"/>
      <c r="AS190" s="1682">
        <v>0.5</v>
      </c>
      <c r="AT190" s="1682"/>
      <c r="AU190" s="1682"/>
      <c r="AV190" s="1682"/>
      <c r="AW190" s="1682"/>
      <c r="AX190" s="1682"/>
      <c r="AY190" s="1682"/>
      <c r="AZ190" s="1682"/>
      <c r="BA190" s="1682"/>
      <c r="BB190" s="1682"/>
      <c r="BC190" s="1682"/>
      <c r="BE190" s="71"/>
      <c r="BI190" s="250"/>
    </row>
    <row r="191" spans="1:140" ht="17" hidden="1" customHeight="1" outlineLevel="1" x14ac:dyDescent="0.15">
      <c r="C191" s="249"/>
      <c r="E191" s="179"/>
      <c r="F191" t="s">
        <v>1050</v>
      </c>
      <c r="S191" t="s">
        <v>46</v>
      </c>
      <c r="AA191" s="1657">
        <f>AA183*AA190</f>
        <v>0</v>
      </c>
      <c r="AB191" s="1657"/>
      <c r="AC191" s="1657"/>
      <c r="AD191" s="1657"/>
      <c r="AE191" s="1657"/>
      <c r="AF191" s="1657"/>
      <c r="AG191" s="1657"/>
      <c r="AH191" s="1657"/>
      <c r="AI191" s="1657"/>
      <c r="AJ191" s="1657"/>
      <c r="AK191" s="1657"/>
      <c r="AM191" s="71"/>
      <c r="AS191" s="1657">
        <f>AS183*AS190</f>
        <v>0</v>
      </c>
      <c r="AT191" s="1657"/>
      <c r="AU191" s="1657"/>
      <c r="AV191" s="1657"/>
      <c r="AW191" s="1657"/>
      <c r="AX191" s="1657"/>
      <c r="AY191" s="1657"/>
      <c r="AZ191" s="1657"/>
      <c r="BA191" s="1657"/>
      <c r="BB191" s="1657"/>
      <c r="BC191" s="1657"/>
      <c r="BE191" s="71"/>
      <c r="BI191" s="250"/>
    </row>
    <row r="192" spans="1:140" s="179" customFormat="1" ht="17" hidden="1" customHeight="1" outlineLevel="1" x14ac:dyDescent="0.15">
      <c r="A192" s="62"/>
      <c r="C192" s="350"/>
      <c r="D192" s="212"/>
      <c r="F192" s="179" t="s">
        <v>297</v>
      </c>
      <c r="S192" s="179" t="s">
        <v>46</v>
      </c>
      <c r="AA192" s="1664">
        <f>AA189+AA191</f>
        <v>0</v>
      </c>
      <c r="AB192" s="1664"/>
      <c r="AC192" s="1664"/>
      <c r="AD192" s="1664"/>
      <c r="AE192" s="1664"/>
      <c r="AF192" s="1664"/>
      <c r="AG192" s="1664"/>
      <c r="AH192" s="1664"/>
      <c r="AI192" s="1664"/>
      <c r="AJ192" s="1664"/>
      <c r="AK192" s="1664"/>
      <c r="AM192" s="298"/>
      <c r="AS192" s="1664">
        <f>AS189+AS191</f>
        <v>0</v>
      </c>
      <c r="AT192" s="1664"/>
      <c r="AU192" s="1664"/>
      <c r="AV192" s="1664"/>
      <c r="AW192" s="1664"/>
      <c r="AX192" s="1664"/>
      <c r="AY192" s="1664"/>
      <c r="AZ192" s="1664"/>
      <c r="BA192" s="1664"/>
      <c r="BB192" s="1664"/>
      <c r="BC192" s="1664"/>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7">
        <f>MAX(AA183,AA186,AA192)</f>
        <v>0</v>
      </c>
      <c r="AB194" s="1657"/>
      <c r="AC194" s="1657"/>
      <c r="AD194" s="1657"/>
      <c r="AE194" s="1657"/>
      <c r="AF194" s="1657"/>
      <c r="AG194" s="1657"/>
      <c r="AH194" s="1657"/>
      <c r="AI194" s="1657"/>
      <c r="AJ194" s="1657"/>
      <c r="AK194" s="1657"/>
      <c r="AM194" s="71"/>
      <c r="AS194" s="1657">
        <f>MAX(AS183,AS186,AS192)</f>
        <v>0</v>
      </c>
      <c r="AT194" s="1657"/>
      <c r="AU194" s="1657"/>
      <c r="AV194" s="1657"/>
      <c r="AW194" s="1657"/>
      <c r="AX194" s="1657"/>
      <c r="AY194" s="1657"/>
      <c r="AZ194" s="1657"/>
      <c r="BA194" s="1657"/>
      <c r="BB194" s="1657"/>
      <c r="BC194" s="1657"/>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Valori standard</v>
      </c>
      <c r="AA198" s="1657"/>
      <c r="AB198" s="1657"/>
      <c r="AC198" s="1657"/>
      <c r="AD198" s="1657"/>
      <c r="AE198" s="1657"/>
      <c r="AF198" s="1657"/>
      <c r="AG198" s="1657"/>
      <c r="AH198" s="1657"/>
      <c r="AI198" s="1657"/>
      <c r="AJ198" s="1657"/>
      <c r="AK198" s="1657"/>
      <c r="AM198" s="71"/>
      <c r="AS198" s="1657"/>
      <c r="AT198" s="1657"/>
      <c r="AU198" s="1657"/>
      <c r="AV198" s="1657"/>
      <c r="AW198" s="1657"/>
      <c r="AX198" s="1657"/>
      <c r="AY198" s="1657"/>
      <c r="AZ198" s="1657"/>
      <c r="BA198" s="1657"/>
      <c r="BB198" s="1657"/>
      <c r="BC198" s="1657"/>
      <c r="BE198" s="71"/>
      <c r="BI198" s="250"/>
      <c r="BW198" s="201"/>
      <c r="BX198" s="201"/>
      <c r="BY198" s="201"/>
      <c r="BZ198" s="201"/>
      <c r="CA198" s="201"/>
      <c r="CB198" s="201"/>
      <c r="CC198" s="201"/>
      <c r="CD198" s="201"/>
      <c r="CE198" s="201"/>
    </row>
    <row r="199" spans="3:83" ht="17" hidden="1" customHeight="1" outlineLevel="1" x14ac:dyDescent="0.15">
      <c r="C199" s="249"/>
      <c r="E199" s="147" t="str">
        <f>X!C262</f>
        <v>Servizio completo (materiali inclusi)</v>
      </c>
      <c r="AA199" s="1689"/>
      <c r="AB199" s="1689"/>
      <c r="AC199" s="1689"/>
      <c r="AD199" s="1689"/>
      <c r="AE199" s="1689"/>
      <c r="AF199" s="1689"/>
      <c r="AG199" s="1689"/>
      <c r="AH199" s="1689"/>
      <c r="AI199" s="1689"/>
      <c r="AJ199" s="1689"/>
      <c r="AK199" s="1689"/>
      <c r="AM199" s="71"/>
      <c r="AS199" s="1689"/>
      <c r="AT199" s="1689"/>
      <c r="AU199" s="1689"/>
      <c r="AV199" s="1689"/>
      <c r="AW199" s="1689"/>
      <c r="AX199" s="1689"/>
      <c r="AY199" s="1689"/>
      <c r="AZ199" s="1689"/>
      <c r="BA199" s="1689"/>
      <c r="BB199" s="1689"/>
      <c r="BC199" s="1689"/>
      <c r="BE199" s="71"/>
      <c r="BI199" s="250"/>
      <c r="BW199" s="201"/>
      <c r="BX199" s="201"/>
      <c r="BY199" s="201"/>
      <c r="BZ199" s="201"/>
      <c r="CA199" s="201"/>
      <c r="CB199" s="201"/>
      <c r="CC199" s="201"/>
      <c r="CD199" s="201"/>
      <c r="CE199" s="201"/>
    </row>
    <row r="200" spans="3:83" ht="17" hidden="1" customHeight="1" outlineLevel="1" x14ac:dyDescent="0.15">
      <c r="C200" s="249"/>
      <c r="E200" s="147" t="str">
        <f>X!C193</f>
        <v>Preventivo-manutenzione e materiale</v>
      </c>
      <c r="AA200" s="1657"/>
      <c r="AB200" s="1657"/>
      <c r="AC200" s="1657"/>
      <c r="AD200" s="1657"/>
      <c r="AE200" s="1657"/>
      <c r="AF200" s="1657"/>
      <c r="AG200" s="1657"/>
      <c r="AH200" s="1657"/>
      <c r="AI200" s="1657"/>
      <c r="AJ200" s="1657"/>
      <c r="AK200" s="1657"/>
      <c r="AM200" s="71"/>
      <c r="AS200" s="1657"/>
      <c r="AT200" s="1657"/>
      <c r="AU200" s="1657"/>
      <c r="AV200" s="1657"/>
      <c r="AW200" s="1657"/>
      <c r="AX200" s="1657"/>
      <c r="AY200" s="1657"/>
      <c r="AZ200" s="1657"/>
      <c r="BA200" s="1657"/>
      <c r="BB200" s="1657"/>
      <c r="BC200" s="1657"/>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7" t="str">
        <f>IF(AA194=0,"--",IF(AA194=AA186,$E199,IF(AA194=AA192,$E200,IF(AA194=AA183,$E198,""))))</f>
        <v>--</v>
      </c>
      <c r="AB202" s="1657"/>
      <c r="AC202" s="1657"/>
      <c r="AD202" s="1657"/>
      <c r="AE202" s="1657"/>
      <c r="AF202" s="1657"/>
      <c r="AG202" s="1657"/>
      <c r="AH202" s="1657"/>
      <c r="AI202" s="1657"/>
      <c r="AJ202" s="1657"/>
      <c r="AK202" s="1657"/>
      <c r="AM202" s="71"/>
      <c r="AS202" s="1657" t="str">
        <f>IF(AS194=0,"--",IF(AS194=AS186,$E199,IF(AS194=AS192,$E200,IF(AS194=AS183,$E198,""))))</f>
        <v>--</v>
      </c>
      <c r="AT202" s="1657"/>
      <c r="AU202" s="1657"/>
      <c r="AV202" s="1657"/>
      <c r="AW202" s="1657"/>
      <c r="AX202" s="1657"/>
      <c r="AY202" s="1657"/>
      <c r="AZ202" s="1657"/>
      <c r="BA202" s="1657"/>
      <c r="BB202" s="1657"/>
      <c r="BC202" s="1657"/>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34">
        <f>IF(AA203+AS203&gt;0,1,0)</f>
        <v>0</v>
      </c>
      <c r="T203" s="1534"/>
      <c r="AA203" s="1668">
        <f>IF(AA202=E200,1,0)</f>
        <v>0</v>
      </c>
      <c r="AB203" s="1669"/>
      <c r="AC203" s="1669"/>
      <c r="AD203" s="1669"/>
      <c r="AE203" s="1669"/>
      <c r="AF203" s="1669"/>
      <c r="AG203" s="1669"/>
      <c r="AH203" s="1669"/>
      <c r="AI203" s="1669"/>
      <c r="AJ203" s="1669"/>
      <c r="AK203" s="1669"/>
      <c r="AM203" s="71"/>
      <c r="AS203" s="1668">
        <f>IF(AS202=E200,1,0)</f>
        <v>0</v>
      </c>
      <c r="AT203" s="1669"/>
      <c r="AU203" s="1669"/>
      <c r="AV203" s="1669"/>
      <c r="AW203" s="1669"/>
      <c r="AX203" s="1669"/>
      <c r="AY203" s="1669"/>
      <c r="AZ203" s="1669"/>
      <c r="BA203" s="1669"/>
      <c r="BB203" s="1669"/>
      <c r="BC203" s="1669"/>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58" t="str">
        <f>O48</f>
        <v>keine Wärmenutzung</v>
      </c>
      <c r="AC207" s="1659"/>
      <c r="AD207" s="1659"/>
      <c r="AE207" s="1659"/>
      <c r="AF207" s="1659" t="s">
        <v>22</v>
      </c>
      <c r="AH207" s="1658" t="str">
        <f>AN207</f>
        <v>keine Wärmenutzung</v>
      </c>
      <c r="AI207" s="1659"/>
      <c r="AJ207" s="1659"/>
      <c r="AK207" s="1659"/>
      <c r="AL207" s="1659" t="s">
        <v>22</v>
      </c>
      <c r="AN207" s="1660" t="str">
        <f>AB207</f>
        <v>keine Wärmenutzung</v>
      </c>
      <c r="AO207" s="1661"/>
      <c r="AP207" s="1661"/>
      <c r="AQ207" s="1661"/>
      <c r="AR207" s="1661" t="s">
        <v>22</v>
      </c>
      <c r="AT207" s="1660" t="str">
        <f>AH207</f>
        <v>keine Wärmenutzung</v>
      </c>
      <c r="AU207" s="1661"/>
      <c r="AV207" s="1661"/>
      <c r="AW207" s="1661"/>
      <c r="AX207" s="1661" t="s">
        <v>22</v>
      </c>
      <c r="AZ207" s="1660" t="str">
        <f>AN207</f>
        <v>keine Wärmenutzung</v>
      </c>
      <c r="BA207" s="1661"/>
      <c r="BB207" s="1661"/>
      <c r="BC207" s="1661"/>
      <c r="BD207" s="1661"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31" t="s">
        <v>848</v>
      </c>
      <c r="W209" s="153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Riscaldamento ad olio (olio da riscaldamento extra leggero)</v>
      </c>
      <c r="E211" s="34"/>
      <c r="F211" s="34"/>
      <c r="G211" s="34"/>
      <c r="H211" s="34"/>
      <c r="I211" s="34"/>
      <c r="J211" s="34" t="str">
        <f>X!C375</f>
        <v>Prezzo dell'olio da riscaldamento</v>
      </c>
      <c r="K211" s="34"/>
      <c r="M211" s="34"/>
      <c r="N211" s="34"/>
      <c r="O211" s="532" t="str">
        <f>X!C382</f>
        <v>CHF/100 litri</v>
      </c>
      <c r="P211" s="597"/>
      <c r="Q211" s="532"/>
      <c r="S211" s="1598">
        <v>60</v>
      </c>
      <c r="T211" s="1598"/>
      <c r="U211" s="714">
        <f>(S211+V211)/2</f>
        <v>120</v>
      </c>
      <c r="V211" s="1598">
        <v>180</v>
      </c>
      <c r="W211" s="1598"/>
      <c r="X211" s="70"/>
      <c r="Y211" s="1598">
        <f>IF(D211=AB$207,IF(BO47=1,IF(P$52=0,U211,P$52),0),0)</f>
        <v>0</v>
      </c>
      <c r="Z211" s="1598"/>
      <c r="AB211" s="1598" t="str">
        <f t="shared" ref="AB211:AB216" si="2">IF(D211=AB$207,O211,"")</f>
        <v/>
      </c>
      <c r="AC211" s="1598"/>
      <c r="AD211" s="1598"/>
      <c r="AE211" s="1598"/>
      <c r="AF211" s="1598">
        <v>0</v>
      </c>
      <c r="AH211" s="1598" t="str">
        <f>IF(D211=AH$207,J211,"")</f>
        <v/>
      </c>
      <c r="AI211" s="1598"/>
      <c r="AJ211" s="1598"/>
      <c r="AK211" s="1598"/>
      <c r="AL211" s="1598">
        <v>0</v>
      </c>
      <c r="AN211" s="1671" t="str">
        <f>IF(D211=AN$207,Y211*100/100/BG211,"")</f>
        <v/>
      </c>
      <c r="AO211" s="1671"/>
      <c r="AP211" s="1671"/>
      <c r="AQ211" s="1671"/>
      <c r="AR211" s="1671">
        <v>0</v>
      </c>
      <c r="AT211" s="1672" t="str">
        <f>IF(D211=AT$207,S211,"")</f>
        <v/>
      </c>
      <c r="AU211" s="1672"/>
      <c r="AV211" s="1672"/>
      <c r="AW211" s="1672"/>
      <c r="AX211" s="1672">
        <v>0</v>
      </c>
      <c r="AY211" s="520"/>
      <c r="AZ211" s="1672" t="str">
        <f>IF(D211=AZ$207,V211,"")</f>
        <v/>
      </c>
      <c r="BA211" s="1672"/>
      <c r="BB211" s="1672"/>
      <c r="BC211" s="1672"/>
      <c r="BD211" s="1672">
        <v>0</v>
      </c>
      <c r="BG211" s="1584">
        <v>10</v>
      </c>
      <c r="BH211" s="1584"/>
      <c r="BI211" s="1584"/>
      <c r="BJ211" t="s">
        <v>946</v>
      </c>
    </row>
    <row r="212" spans="1:140" ht="17" hidden="1" customHeight="1" outlineLevel="1" x14ac:dyDescent="0.15">
      <c r="D212" s="73" t="str">
        <f>X!C368</f>
        <v>Riscaldamento a gas naturale</v>
      </c>
      <c r="E212" s="66"/>
      <c r="F212" s="66"/>
      <c r="G212" s="66"/>
      <c r="H212" s="66"/>
      <c r="I212" s="66"/>
      <c r="J212" s="34" t="str">
        <f>X!C376</f>
        <v>Prezzo del gas naturale</v>
      </c>
      <c r="K212" s="66"/>
      <c r="M212" s="66"/>
      <c r="N212" s="66"/>
      <c r="O212" s="34" t="str">
        <f>X!C294</f>
        <v>ct./kWh</v>
      </c>
      <c r="Q212" s="66"/>
      <c r="S212" s="1590">
        <v>3</v>
      </c>
      <c r="T212" s="1590"/>
      <c r="U212" s="714">
        <f t="shared" ref="U212:U217" si="3">(S212+V212)/2</f>
        <v>7.5</v>
      </c>
      <c r="V212" s="1590">
        <v>12</v>
      </c>
      <c r="W212" s="1590"/>
      <c r="X212" s="70"/>
      <c r="Y212" s="1598">
        <f t="shared" ref="Y212:Y217" si="4">IF(D212=AB$207,IF(BO48=1,IF(P$52=0,U212,P$52),0),0)</f>
        <v>0</v>
      </c>
      <c r="Z212" s="1598"/>
      <c r="AB212" s="1598" t="str">
        <f t="shared" si="2"/>
        <v/>
      </c>
      <c r="AC212" s="1598"/>
      <c r="AD212" s="1598"/>
      <c r="AE212" s="1598"/>
      <c r="AF212" s="1598">
        <v>0</v>
      </c>
      <c r="AH212" s="1598" t="str">
        <f t="shared" ref="AH212:AH217" si="5">IF(D212=AH$207,J212,"")</f>
        <v/>
      </c>
      <c r="AI212" s="1598"/>
      <c r="AJ212" s="1598"/>
      <c r="AK212" s="1598"/>
      <c r="AL212" s="1598">
        <v>0</v>
      </c>
      <c r="AN212" s="1673" t="str">
        <f>IF(D212=AN$207,IF(Y212=0,U212,Y212),"")</f>
        <v/>
      </c>
      <c r="AO212" s="1673"/>
      <c r="AP212" s="1673"/>
      <c r="AQ212" s="1673"/>
      <c r="AR212" s="1673">
        <v>0</v>
      </c>
      <c r="AT212" s="1672" t="str">
        <f t="shared" ref="AT212:AT217" si="6">IF(D212=AT$207,S212,"")</f>
        <v/>
      </c>
      <c r="AU212" s="1672"/>
      <c r="AV212" s="1672"/>
      <c r="AW212" s="1672"/>
      <c r="AX212" s="1672">
        <v>0</v>
      </c>
      <c r="AZ212" s="1672" t="str">
        <f t="shared" ref="AZ212:AZ217" si="7">IF(D212=AZ$207,V212,"")</f>
        <v/>
      </c>
      <c r="BA212" s="1672"/>
      <c r="BB212" s="1672"/>
      <c r="BC212" s="1672"/>
      <c r="BD212" s="1672">
        <v>0</v>
      </c>
    </row>
    <row r="213" spans="1:140" ht="17" hidden="1" customHeight="1" outlineLevel="1" x14ac:dyDescent="0.15">
      <c r="D213" s="73" t="str">
        <f>X!C369</f>
        <v>Riscaldamento a gas naturale con 15% di biogas</v>
      </c>
      <c r="E213" s="34"/>
      <c r="F213" s="34"/>
      <c r="G213" s="34"/>
      <c r="H213" s="34"/>
      <c r="I213" s="34"/>
      <c r="J213" s="34" t="str">
        <f>X!C377</f>
        <v>Prezzo del gas naturale</v>
      </c>
      <c r="K213" s="34"/>
      <c r="M213" s="34"/>
      <c r="N213" s="34"/>
      <c r="O213" s="34" t="str">
        <f>X!C294</f>
        <v>ct./kWh</v>
      </c>
      <c r="Q213" s="34"/>
      <c r="S213" s="1590">
        <v>5</v>
      </c>
      <c r="T213" s="1590"/>
      <c r="U213" s="714">
        <f t="shared" si="3"/>
        <v>10.5</v>
      </c>
      <c r="V213" s="1590">
        <v>16</v>
      </c>
      <c r="W213" s="1590"/>
      <c r="X213" s="70"/>
      <c r="Y213" s="1598">
        <f t="shared" si="4"/>
        <v>0</v>
      </c>
      <c r="Z213" s="1598"/>
      <c r="AB213" s="1598" t="str">
        <f t="shared" si="2"/>
        <v/>
      </c>
      <c r="AC213" s="1598"/>
      <c r="AD213" s="1598"/>
      <c r="AE213" s="1598"/>
      <c r="AF213" s="1598">
        <v>0</v>
      </c>
      <c r="AH213" s="1598" t="str">
        <f t="shared" si="5"/>
        <v/>
      </c>
      <c r="AI213" s="1598"/>
      <c r="AJ213" s="1598"/>
      <c r="AK213" s="1598"/>
      <c r="AL213" s="1598">
        <v>0</v>
      </c>
      <c r="AN213" s="1673" t="str">
        <f>IF(D213=AN$207,IF(Y213=0,U213,Y213),"")</f>
        <v/>
      </c>
      <c r="AO213" s="1673"/>
      <c r="AP213" s="1673"/>
      <c r="AQ213" s="1673"/>
      <c r="AR213" s="1673">
        <v>0</v>
      </c>
      <c r="AT213" s="1672" t="str">
        <f t="shared" si="6"/>
        <v/>
      </c>
      <c r="AU213" s="1672"/>
      <c r="AV213" s="1672"/>
      <c r="AW213" s="1672"/>
      <c r="AX213" s="1672">
        <v>0</v>
      </c>
      <c r="AZ213" s="1672" t="str">
        <f t="shared" si="7"/>
        <v/>
      </c>
      <c r="BA213" s="1672"/>
      <c r="BB213" s="1672"/>
      <c r="BC213" s="1672"/>
      <c r="BD213" s="1672">
        <v>0</v>
      </c>
    </row>
    <row r="214" spans="1:140" ht="17" hidden="1" customHeight="1" outlineLevel="1" x14ac:dyDescent="0.15">
      <c r="D214" s="73" t="str">
        <f>X!C370</f>
        <v>Riscaldamento a biogas</v>
      </c>
      <c r="E214" s="34"/>
      <c r="F214" s="34"/>
      <c r="G214" s="34"/>
      <c r="H214" s="34"/>
      <c r="I214" s="34"/>
      <c r="J214" s="34" t="str">
        <f>X!C378</f>
        <v>Prezzo del biogas</v>
      </c>
      <c r="K214" s="34"/>
      <c r="M214" s="34"/>
      <c r="N214" s="34"/>
      <c r="O214" s="34" t="str">
        <f>X!C294</f>
        <v>ct./kWh</v>
      </c>
      <c r="Q214" s="34"/>
      <c r="S214" s="1590">
        <v>10</v>
      </c>
      <c r="T214" s="1590"/>
      <c r="U214" s="714">
        <f t="shared" si="3"/>
        <v>16</v>
      </c>
      <c r="V214" s="1590">
        <v>22</v>
      </c>
      <c r="W214" s="1590"/>
      <c r="X214" s="70"/>
      <c r="Y214" s="1598">
        <f t="shared" si="4"/>
        <v>0</v>
      </c>
      <c r="Z214" s="1598"/>
      <c r="AB214" s="1598" t="str">
        <f t="shared" si="2"/>
        <v/>
      </c>
      <c r="AC214" s="1598"/>
      <c r="AD214" s="1598"/>
      <c r="AE214" s="1598"/>
      <c r="AF214" s="1598">
        <v>0</v>
      </c>
      <c r="AH214" s="1598" t="str">
        <f t="shared" si="5"/>
        <v/>
      </c>
      <c r="AI214" s="1598"/>
      <c r="AJ214" s="1598"/>
      <c r="AK214" s="1598"/>
      <c r="AL214" s="1598">
        <v>0</v>
      </c>
      <c r="AN214" s="1673" t="str">
        <f>IF(D214=AN$207,IF(Y214=0,U214,Y214),"")</f>
        <v/>
      </c>
      <c r="AO214" s="1673"/>
      <c r="AP214" s="1673"/>
      <c r="AQ214" s="1673"/>
      <c r="AR214" s="1673">
        <v>0</v>
      </c>
      <c r="AT214" s="1672" t="str">
        <f t="shared" si="6"/>
        <v/>
      </c>
      <c r="AU214" s="1672"/>
      <c r="AV214" s="1672"/>
      <c r="AW214" s="1672"/>
      <c r="AX214" s="1672">
        <v>0</v>
      </c>
      <c r="AZ214" s="1672" t="str">
        <f t="shared" si="7"/>
        <v/>
      </c>
      <c r="BA214" s="1672"/>
      <c r="BB214" s="1672"/>
      <c r="BC214" s="1672"/>
      <c r="BD214" s="1672">
        <v>0</v>
      </c>
    </row>
    <row r="215" spans="1:140" ht="17" hidden="1" customHeight="1" outlineLevel="1" x14ac:dyDescent="0.15">
      <c r="D215" s="73" t="str">
        <f>X!C371</f>
        <v>Riscaldamento a legna (pellet)</v>
      </c>
      <c r="E215" s="34"/>
      <c r="F215" s="34"/>
      <c r="G215" s="34"/>
      <c r="H215" s="34"/>
      <c r="I215" s="34"/>
      <c r="J215" s="34" t="str">
        <f>X!C379</f>
        <v>Prezzo dei pellet</v>
      </c>
      <c r="K215" s="34"/>
      <c r="M215" s="34"/>
      <c r="N215" s="34"/>
      <c r="O215" s="532" t="str">
        <f>X!C383</f>
        <v>CHF/tonnellata</v>
      </c>
      <c r="P215" s="597"/>
      <c r="Q215" s="532"/>
      <c r="S215" s="1590">
        <v>250</v>
      </c>
      <c r="T215" s="1590"/>
      <c r="U215" s="714">
        <f t="shared" si="3"/>
        <v>375</v>
      </c>
      <c r="V215" s="1590">
        <v>500</v>
      </c>
      <c r="W215" s="1590"/>
      <c r="X215" s="70"/>
      <c r="Y215" s="1598">
        <f t="shared" si="4"/>
        <v>0</v>
      </c>
      <c r="Z215" s="1598"/>
      <c r="AB215" s="1598" t="str">
        <f t="shared" si="2"/>
        <v/>
      </c>
      <c r="AC215" s="1598"/>
      <c r="AD215" s="1598"/>
      <c r="AE215" s="1598"/>
      <c r="AF215" s="1598">
        <v>0</v>
      </c>
      <c r="AH215" s="1598" t="str">
        <f t="shared" si="5"/>
        <v/>
      </c>
      <c r="AI215" s="1598"/>
      <c r="AJ215" s="1598"/>
      <c r="AK215" s="1598"/>
      <c r="AL215" s="1598">
        <v>0</v>
      </c>
      <c r="AN215" s="1671" t="str">
        <f>IF(D215=AN$207,Y215*100/1000/BG215,"")</f>
        <v/>
      </c>
      <c r="AO215" s="1671"/>
      <c r="AP215" s="1671"/>
      <c r="AQ215" s="1671"/>
      <c r="AR215" s="1671">
        <v>0</v>
      </c>
      <c r="AT215" s="1672" t="str">
        <f t="shared" si="6"/>
        <v/>
      </c>
      <c r="AU215" s="1672"/>
      <c r="AV215" s="1672"/>
      <c r="AW215" s="1672"/>
      <c r="AX215" s="1672">
        <v>0</v>
      </c>
      <c r="AZ215" s="1672" t="str">
        <f t="shared" si="7"/>
        <v/>
      </c>
      <c r="BA215" s="1672"/>
      <c r="BB215" s="1672"/>
      <c r="BC215" s="1672"/>
      <c r="BD215" s="1672">
        <v>0</v>
      </c>
      <c r="BG215" s="1584">
        <v>4.8</v>
      </c>
      <c r="BH215" s="1584"/>
      <c r="BI215" s="1584"/>
      <c r="BJ215" t="s">
        <v>944</v>
      </c>
    </row>
    <row r="216" spans="1:140" ht="17" hidden="1" customHeight="1" outlineLevel="1" x14ac:dyDescent="0.15">
      <c r="D216" s="73" t="str">
        <f>X!C372</f>
        <v>Teleriscaldamento</v>
      </c>
      <c r="E216" s="34"/>
      <c r="F216" s="34"/>
      <c r="G216" s="34"/>
      <c r="H216" s="34"/>
      <c r="I216" s="34"/>
      <c r="J216" s="34" t="str">
        <f>X!C380</f>
        <v>Prezzo del teleriscaldamento</v>
      </c>
      <c r="K216" s="34"/>
      <c r="M216" s="34"/>
      <c r="N216" s="34"/>
      <c r="O216" s="34" t="str">
        <f>X!C294</f>
        <v>ct./kWh</v>
      </c>
      <c r="Q216" s="34"/>
      <c r="S216" s="1590">
        <v>5</v>
      </c>
      <c r="T216" s="1590"/>
      <c r="U216" s="714">
        <f t="shared" si="3"/>
        <v>10</v>
      </c>
      <c r="V216" s="1590">
        <v>15</v>
      </c>
      <c r="W216" s="1590"/>
      <c r="X216" s="70"/>
      <c r="Y216" s="1598">
        <f t="shared" si="4"/>
        <v>0</v>
      </c>
      <c r="Z216" s="1598"/>
      <c r="AB216" s="1598" t="str">
        <f t="shared" si="2"/>
        <v/>
      </c>
      <c r="AC216" s="1598"/>
      <c r="AD216" s="1598"/>
      <c r="AE216" s="1598"/>
      <c r="AF216" s="1598">
        <v>0</v>
      </c>
      <c r="AH216" s="1598" t="str">
        <f t="shared" si="5"/>
        <v/>
      </c>
      <c r="AI216" s="1598"/>
      <c r="AJ216" s="1598"/>
      <c r="AK216" s="1598"/>
      <c r="AL216" s="1598">
        <v>0</v>
      </c>
      <c r="AN216" s="1673" t="str">
        <f>IF(D216=AN$207,IF(Y216=0,U216,Y216),"")</f>
        <v/>
      </c>
      <c r="AO216" s="1673"/>
      <c r="AP216" s="1673"/>
      <c r="AQ216" s="1673"/>
      <c r="AR216" s="1673">
        <v>0</v>
      </c>
      <c r="AT216" s="1672" t="str">
        <f t="shared" si="6"/>
        <v/>
      </c>
      <c r="AU216" s="1672"/>
      <c r="AV216" s="1672"/>
      <c r="AW216" s="1672"/>
      <c r="AX216" s="1672">
        <v>0</v>
      </c>
      <c r="AZ216" s="1672" t="str">
        <f t="shared" si="7"/>
        <v/>
      </c>
      <c r="BA216" s="1672"/>
      <c r="BB216" s="1672"/>
      <c r="BC216" s="1672"/>
      <c r="BD216" s="1672">
        <v>0</v>
      </c>
      <c r="BG216" s="70"/>
      <c r="BH216" s="70"/>
      <c r="BI216" s="70"/>
    </row>
    <row r="217" spans="1:140" ht="17" hidden="1" customHeight="1" outlineLevel="1" x14ac:dyDescent="0.15">
      <c r="D217" s="73" t="str">
        <f>X!C373</f>
        <v>Riscaldamento con impianto geotermico</v>
      </c>
      <c r="E217" s="34"/>
      <c r="F217" s="34"/>
      <c r="G217" s="34"/>
      <c r="H217" s="34"/>
      <c r="I217" s="34"/>
      <c r="J217" s="34" t="str">
        <f>X!C381</f>
        <v>Prezzo dell'elettricità</v>
      </c>
      <c r="K217" s="34"/>
      <c r="M217" s="34"/>
      <c r="N217" s="34"/>
      <c r="O217" s="532" t="str">
        <f>X!C294</f>
        <v>ct./kWh</v>
      </c>
      <c r="P217" s="597"/>
      <c r="Q217" s="532"/>
      <c r="S217" s="1589">
        <v>6</v>
      </c>
      <c r="T217" s="1589"/>
      <c r="U217" s="714">
        <f t="shared" si="3"/>
        <v>14</v>
      </c>
      <c r="V217" s="1589">
        <v>22</v>
      </c>
      <c r="W217" s="1589"/>
      <c r="X217" s="70"/>
      <c r="Y217" s="1598">
        <f t="shared" si="4"/>
        <v>0</v>
      </c>
      <c r="Z217" s="1598"/>
      <c r="AB217" s="1598" t="str">
        <f>IF(D217=AB$207,O217,"")</f>
        <v/>
      </c>
      <c r="AC217" s="1598"/>
      <c r="AD217" s="1598"/>
      <c r="AE217" s="1598"/>
      <c r="AF217" s="1598">
        <v>0</v>
      </c>
      <c r="AH217" s="1598" t="str">
        <f t="shared" si="5"/>
        <v/>
      </c>
      <c r="AI217" s="1598"/>
      <c r="AJ217" s="1598"/>
      <c r="AK217" s="1598"/>
      <c r="AL217" s="1598">
        <v>0</v>
      </c>
      <c r="AN217" s="1671" t="str">
        <f>IF(D217=AN$207,$AI$39/BG217,"")</f>
        <v/>
      </c>
      <c r="AO217" s="1671"/>
      <c r="AP217" s="1671"/>
      <c r="AQ217" s="1671"/>
      <c r="AR217" s="1671">
        <v>0</v>
      </c>
      <c r="AT217" s="1672" t="str">
        <f t="shared" si="6"/>
        <v/>
      </c>
      <c r="AU217" s="1672"/>
      <c r="AV217" s="1672"/>
      <c r="AW217" s="1672"/>
      <c r="AX217" s="1672">
        <v>0</v>
      </c>
      <c r="AZ217" s="1672" t="str">
        <f t="shared" si="7"/>
        <v/>
      </c>
      <c r="BA217" s="1672"/>
      <c r="BB217" s="1672"/>
      <c r="BC217" s="1672"/>
      <c r="BD217" s="1672">
        <v>0</v>
      </c>
      <c r="BG217" s="1584">
        <v>3.2</v>
      </c>
      <c r="BH217" s="1584"/>
      <c r="BI217" s="1584"/>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01" t="str">
        <f>CONCATENATE(AB211,AB212,AB213,AB214,AB215,AB216,AB217)</f>
        <v/>
      </c>
      <c r="AC218" s="1601"/>
      <c r="AD218" s="1601"/>
      <c r="AE218" s="1601"/>
      <c r="AF218" s="1601"/>
      <c r="AH218" s="1601" t="str">
        <f>CONCATENATE(AH211,AH212,AH213,AH214,AH215,AH216,AH217)</f>
        <v/>
      </c>
      <c r="AI218" s="1601"/>
      <c r="AJ218" s="1601"/>
      <c r="AK218" s="1601"/>
      <c r="AL218" s="1601"/>
      <c r="AM218"/>
      <c r="AN218" s="1680">
        <f>SUM(AN211:AR217)</f>
        <v>0</v>
      </c>
      <c r="AO218" s="1680"/>
      <c r="AP218" s="1680"/>
      <c r="AQ218" s="1680"/>
      <c r="AR218" s="1680"/>
      <c r="AS218"/>
      <c r="AT218" s="1681">
        <f>SUM(AT211:AX217)</f>
        <v>0</v>
      </c>
      <c r="AU218" s="1681"/>
      <c r="AV218" s="1681"/>
      <c r="AW218" s="1681"/>
      <c r="AX218" s="1681"/>
      <c r="AY218" s="520"/>
      <c r="AZ218" s="1681">
        <f>SUM(AZ211:BD217)</f>
        <v>0</v>
      </c>
      <c r="BA218" s="1681"/>
      <c r="BB218" s="1681"/>
      <c r="BC218" s="1681"/>
      <c r="BD218" s="1681"/>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93"/>
      <c r="AC222" s="1694"/>
      <c r="AD222" s="1694"/>
      <c r="AE222" s="1694"/>
      <c r="AF222" s="1694"/>
      <c r="AG222" s="1157"/>
      <c r="AH222" s="1693"/>
      <c r="AI222" s="1694"/>
      <c r="AJ222" s="1694"/>
      <c r="AK222" s="1694"/>
      <c r="AL222" s="1694"/>
      <c r="AM222" s="1157"/>
      <c r="AN222" s="1695"/>
      <c r="AO222" s="1696"/>
      <c r="AP222" s="1696"/>
      <c r="AQ222" s="1696"/>
      <c r="AR222" s="1696"/>
      <c r="AS222" s="1157"/>
      <c r="AT222" s="1695"/>
      <c r="AU222" s="1696"/>
      <c r="AV222" s="1696"/>
      <c r="AW222" s="1696"/>
      <c r="AX222" s="1696"/>
      <c r="AY222" s="1157"/>
      <c r="AZ222" s="1695"/>
      <c r="BA222" s="1696"/>
      <c r="BB222" s="1696"/>
      <c r="BC222" s="1696"/>
      <c r="BD222" s="1696"/>
      <c r="BE222" s="1157"/>
      <c r="BF222" s="1157"/>
      <c r="BG222" s="1159"/>
      <c r="BH222" s="518"/>
      <c r="BI222" s="518"/>
      <c r="BJ222" s="518"/>
      <c r="BK222" s="518"/>
    </row>
    <row r="223" spans="1:140" hidden="1" outlineLevel="1" x14ac:dyDescent="0.15">
      <c r="D223" s="161" t="str">
        <f>X!C352</f>
        <v>Secco</v>
      </c>
    </row>
    <row r="224" spans="1:140" hidden="1" outlineLevel="1" x14ac:dyDescent="0.15">
      <c r="D224" s="161" t="str">
        <f>X!C353</f>
        <v>Ibrido</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45:AK45"/>
    <mergeCell ref="AA71:AF71"/>
    <mergeCell ref="AA72:AF72"/>
    <mergeCell ref="AS45:BC45"/>
    <mergeCell ref="AA63:AK63"/>
    <mergeCell ref="AS93:BC93"/>
    <mergeCell ref="AS92:BC92"/>
    <mergeCell ref="AA93:AK93"/>
    <mergeCell ref="AA79:AK79"/>
    <mergeCell ref="AA68:AK68"/>
    <mergeCell ref="AS68:BC68"/>
    <mergeCell ref="AA74:AK7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AB213:AF213"/>
    <mergeCell ref="AH213:AL213"/>
    <mergeCell ref="AB214:AF214"/>
    <mergeCell ref="AH214:AL214"/>
    <mergeCell ref="Y213:Z213"/>
    <mergeCell ref="Y214:Z214"/>
    <mergeCell ref="V213:W213"/>
    <mergeCell ref="AN212:AR212"/>
    <mergeCell ref="AT212:AX212"/>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74" t="str">
        <f>X!$C$289</f>
        <v>indietro alle specifiche dell'impianto (1)</v>
      </c>
      <c r="F2" s="1574"/>
      <c r="G2" s="1574"/>
      <c r="H2" s="1574"/>
      <c r="I2" s="1574"/>
      <c r="J2" s="1574"/>
      <c r="K2" s="1574"/>
      <c r="L2" s="1574"/>
      <c r="M2" s="1574"/>
      <c r="N2" s="1574"/>
      <c r="O2" s="1574"/>
      <c r="P2" s="1574"/>
      <c r="Q2" s="1574"/>
      <c r="R2" s="1574"/>
      <c r="S2" s="1574"/>
      <c r="U2" s="75"/>
      <c r="AF2" s="718">
        <f>'4 Economics'!AM2</f>
        <v>0</v>
      </c>
      <c r="AG2" s="718">
        <f>'4 Economics'!AN2</f>
        <v>0</v>
      </c>
      <c r="AH2" s="718">
        <f>'4 Economics'!AO2</f>
        <v>1</v>
      </c>
    </row>
    <row r="3" spans="1:156" x14ac:dyDescent="0.15">
      <c r="C3" s="688"/>
      <c r="D3" s="689" t="s">
        <v>0</v>
      </c>
      <c r="E3" s="1574" t="str">
        <f>X!$C$286</f>
        <v>al calcolo dell'economicità (4)</v>
      </c>
      <c r="F3" s="1574"/>
      <c r="G3" s="1574"/>
      <c r="H3" s="1574"/>
      <c r="I3" s="1574"/>
      <c r="J3" s="1574"/>
      <c r="K3" s="1574"/>
      <c r="L3" s="1574"/>
      <c r="M3" s="1574"/>
      <c r="N3" s="1574"/>
      <c r="O3" s="1574"/>
      <c r="P3" s="1574"/>
      <c r="Q3" s="1574"/>
      <c r="R3" s="1574"/>
      <c r="S3" s="1574"/>
    </row>
    <row r="4" spans="1:156" x14ac:dyDescent="0.15">
      <c r="C4" s="688"/>
      <c r="D4" s="689" t="s">
        <v>0</v>
      </c>
      <c r="E4" s="1574" t="str">
        <f>X!$C$284</f>
        <v>al calcolo TEWI (3)</v>
      </c>
      <c r="F4" s="1574"/>
      <c r="G4" s="1574"/>
      <c r="H4" s="1574"/>
      <c r="I4" s="1574"/>
      <c r="J4" s="1574"/>
      <c r="K4" s="1574"/>
      <c r="L4" s="1574"/>
      <c r="M4" s="1574"/>
      <c r="N4" s="1574"/>
      <c r="O4" s="1574"/>
      <c r="P4" s="1574"/>
      <c r="Q4" s="1574"/>
      <c r="R4" s="1574"/>
      <c r="S4" s="1574"/>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Efficienza per il freddo</v>
      </c>
      <c r="E10" s="29"/>
      <c r="F10" s="29"/>
      <c r="G10" s="29"/>
      <c r="H10" s="29"/>
      <c r="I10" s="29"/>
      <c r="J10" s="29"/>
      <c r="K10" s="29"/>
      <c r="L10" s="29"/>
      <c r="M10" s="29"/>
      <c r="N10" s="29"/>
      <c r="O10" s="29"/>
      <c r="P10" s="29"/>
      <c r="Q10" s="29"/>
      <c r="R10" s="29"/>
      <c r="S10" s="29"/>
      <c r="T10" s="29"/>
    </row>
    <row r="11" spans="1:156" ht="16" customHeight="1" x14ac:dyDescent="0.15">
      <c r="C11" s="389" t="str">
        <f>X!$C$21</f>
        <v>Strumento per prognosi di consumo elettrico, impatto ambientale e costo del ciclo di vita per impianti di refrigerazione e climatizzazione</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Risultati</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44">
        <f>'1 System specification'!Q87</f>
        <v>0</v>
      </c>
      <c r="E18" s="1244"/>
      <c r="F18" s="1244"/>
      <c r="G18" s="1244"/>
      <c r="H18" s="1244"/>
      <c r="I18" s="1244"/>
      <c r="J18" s="1244"/>
      <c r="K18" s="1244"/>
      <c r="L18" s="1244"/>
      <c r="M18" s="1244"/>
      <c r="N18" s="1244"/>
      <c r="O18" s="1244"/>
      <c r="P18" s="36"/>
      <c r="Q18" s="36"/>
      <c r="R18" s="1248">
        <f ca="1">IF('1 System specification'!AP87="",TODAY(),'1 System specification'!AP87)</f>
        <v>45824</v>
      </c>
      <c r="S18" s="1248"/>
      <c r="T18" s="1248"/>
      <c r="U18" s="1248"/>
      <c r="V18" s="1248"/>
      <c r="W18" s="36"/>
      <c r="X18" s="1244">
        <f>'1 System specification'!AP94</f>
        <v>0</v>
      </c>
      <c r="Y18" s="1244"/>
      <c r="Z18" s="1244"/>
      <c r="AA18" s="1244"/>
      <c r="AB18" s="1244"/>
      <c r="AC18" s="1244"/>
      <c r="AD18" s="1244"/>
      <c r="AE18" s="1244"/>
      <c r="AF18" s="1244"/>
      <c r="AG18" s="36"/>
      <c r="AH18" s="1244">
        <f>'1 System specification'!Q94</f>
        <v>0</v>
      </c>
      <c r="AI18" s="1244"/>
      <c r="AJ18" s="1244"/>
      <c r="AK18" s="1244"/>
      <c r="AL18" s="1244"/>
      <c r="AM18" s="1244"/>
      <c r="AN18" s="1244"/>
      <c r="AO18" s="1244"/>
      <c r="AP18" s="1244"/>
      <c r="AS18" s="1409" t="str">
        <f>'1 System specification'!AO80</f>
        <v>Versione 6.3 (2025): valida fino al 30 maggio 2026</v>
      </c>
      <c r="AT18" s="1409"/>
      <c r="AU18" s="1409"/>
      <c r="AV18" s="1409"/>
      <c r="AW18" s="1409"/>
      <c r="AX18" s="1409"/>
      <c r="AY18" s="1409"/>
      <c r="AZ18" s="1409"/>
      <c r="BA18" s="1409"/>
      <c r="BB18" s="1409"/>
      <c r="BC18" s="1409"/>
      <c r="BD18" s="1409"/>
      <c r="BE18" s="1409"/>
      <c r="BF18" s="1409"/>
      <c r="BG18" s="1409"/>
      <c r="BH18" s="1409"/>
      <c r="BI18" s="1409"/>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Riepilogo</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26">
        <f>'1 System specification'!W243</f>
        <v>1</v>
      </c>
      <c r="AT23" s="1626"/>
      <c r="AU23" s="1626"/>
      <c r="AV23" s="1626"/>
      <c r="AW23" s="1626"/>
      <c r="AX23" s="1626"/>
      <c r="AY23" s="1626"/>
      <c r="AZ23" s="1626"/>
      <c r="BA23" s="1626"/>
      <c r="BB23" s="1626"/>
      <c r="BC23" s="1626"/>
      <c r="BD23" s="1626"/>
      <c r="BE23" s="1626"/>
      <c r="BF23" s="1626"/>
      <c r="BG23" s="1626"/>
      <c r="BH23" s="1626"/>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Oggetto</v>
      </c>
      <c r="E26" s="685"/>
      <c r="F26" s="685"/>
      <c r="G26" s="685"/>
      <c r="H26" s="682"/>
      <c r="I26" s="682"/>
      <c r="T26" s="685"/>
      <c r="V26" s="682"/>
      <c r="W26" s="682"/>
      <c r="X26" s="682"/>
      <c r="Y26" s="682"/>
      <c r="Z26" s="682"/>
      <c r="AA26" s="1704">
        <f>D18</f>
        <v>0</v>
      </c>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Tipo di impianto</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5">
        <f>'1 System specification'!AA309</f>
        <v>0</v>
      </c>
      <c r="AB31" s="1706"/>
      <c r="AC31" s="1706"/>
      <c r="AD31" s="1706"/>
      <c r="AE31" s="1706"/>
      <c r="AF31" s="1706"/>
      <c r="AG31" s="1706"/>
      <c r="AH31" s="1706"/>
      <c r="AI31" s="1706"/>
      <c r="AJ31" s="1706"/>
      <c r="AK31" s="1706"/>
      <c r="AL31" s="1706"/>
      <c r="AM31" s="1706"/>
      <c r="AN31" s="1706"/>
      <c r="AO31" s="1706"/>
      <c r="AP31" s="687"/>
      <c r="AQ31" s="687"/>
      <c r="AR31" s="687"/>
      <c r="AS31" s="1705">
        <f>'1 System specification'!BR309</f>
        <v>0</v>
      </c>
      <c r="AT31" s="1706"/>
      <c r="AU31" s="1706"/>
      <c r="AV31" s="1706"/>
      <c r="AW31" s="1706"/>
      <c r="AX31" s="1706"/>
      <c r="AY31" s="1706"/>
      <c r="AZ31" s="1706"/>
      <c r="BA31" s="1706"/>
      <c r="BB31" s="1706"/>
      <c r="BC31" s="1706"/>
      <c r="BD31" s="1706"/>
      <c r="BE31" s="1706"/>
      <c r="BF31" s="1706"/>
      <c r="BG31" s="1706"/>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Fabbisogno potenza di raffreddamento</v>
      </c>
      <c r="U33" t="s">
        <v>83</v>
      </c>
      <c r="AA33" s="1712" t="str">
        <f>IF('1 System specification'!AA274=0,"",'1 System specification'!AA274)</f>
        <v/>
      </c>
      <c r="AB33" s="1713"/>
      <c r="AC33" s="1713"/>
      <c r="AD33" s="1713"/>
      <c r="AS33" s="1712" t="str">
        <f>IF('1 System specification'!BR274=0,"",'1 System specification'!BR274)</f>
        <v/>
      </c>
      <c r="AT33" s="1713"/>
      <c r="AU33" s="1713"/>
      <c r="AV33" s="1713"/>
      <c r="BI33" s="47"/>
    </row>
    <row r="34" spans="1:156" ht="16" customHeight="1" x14ac:dyDescent="0.15">
      <c r="C34" s="44"/>
      <c r="D34" s="409" t="str">
        <f>X!$C$143</f>
        <v>Potenza di raffreddamento installata</v>
      </c>
      <c r="U34" t="s">
        <v>83</v>
      </c>
      <c r="AA34" s="1714" t="str">
        <f>IF('1 System specification'!AH274=0,"",'1 System specification'!AH274)</f>
        <v/>
      </c>
      <c r="AB34" s="1714"/>
      <c r="AC34" s="1714"/>
      <c r="AD34" s="1714"/>
      <c r="AE34" s="698"/>
      <c r="AS34" s="1714" t="str">
        <f>IF('1 System specification'!BX274=0,"",'1 System specification'!BX274)</f>
        <v/>
      </c>
      <c r="AT34" s="1714"/>
      <c r="AU34" s="1714"/>
      <c r="AV34" s="1714"/>
      <c r="AW34" s="698"/>
      <c r="BI34" s="47"/>
    </row>
    <row r="35" spans="1:156" ht="16" customHeight="1" x14ac:dyDescent="0.15">
      <c r="C35" s="44"/>
      <c r="D35" s="409" t="str">
        <f>X!C145</f>
        <v>Refrigerante</v>
      </c>
      <c r="AB35" s="616"/>
      <c r="AC35" s="616"/>
      <c r="AD35" s="616"/>
      <c r="AE35" s="616"/>
      <c r="AF35" s="1699">
        <f>'1 System specification'!AA295</f>
        <v>0</v>
      </c>
      <c r="AG35" s="1699"/>
      <c r="AH35" s="1699"/>
      <c r="AI35" s="1699"/>
      <c r="AJ35" s="1699"/>
      <c r="AK35" s="1699"/>
      <c r="AL35" s="1699"/>
      <c r="AM35" s="1699"/>
      <c r="AN35" s="1699"/>
      <c r="AO35" s="1699"/>
      <c r="AT35" s="616"/>
      <c r="AU35" s="616"/>
      <c r="AV35" s="616"/>
      <c r="AW35" s="616"/>
      <c r="AX35" s="1699">
        <f>'1 System specification'!BR295</f>
        <v>0</v>
      </c>
      <c r="AY35" s="1699"/>
      <c r="AZ35" s="1699"/>
      <c r="BA35" s="1699"/>
      <c r="BB35" s="1699"/>
      <c r="BC35" s="1699"/>
      <c r="BD35" s="1699"/>
      <c r="BE35" s="1699"/>
      <c r="BF35" s="1699"/>
      <c r="BG35" s="1699"/>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Energia</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Fabbisogno energia di refrigerazione</v>
      </c>
      <c r="U40" t="s">
        <v>20</v>
      </c>
      <c r="AA40" s="1300" t="str">
        <f>IF('1 System specification'!AA288=0,"-",'1 System specification'!AA288)</f>
        <v>-</v>
      </c>
      <c r="AB40" s="1301"/>
      <c r="AC40" s="1301"/>
      <c r="AD40" s="1301"/>
      <c r="AS40" s="1300" t="str">
        <f>IF('1 System specification'!BR288=0,"-",'1 System specification'!BR288)</f>
        <v>-</v>
      </c>
      <c r="AT40" s="1301"/>
      <c r="AU40" s="1301"/>
      <c r="AV40" s="1301"/>
      <c r="BI40" s="47"/>
    </row>
    <row r="41" spans="1:156" s="27" customFormat="1" ht="18" customHeight="1" x14ac:dyDescent="0.15">
      <c r="A41" s="201"/>
      <c r="C41" s="48"/>
      <c r="F41" s="393" t="str">
        <f>X!C324</f>
        <v>Raffreddamento con la macchina refrigerante</v>
      </c>
      <c r="U41" s="27" t="s">
        <v>20</v>
      </c>
      <c r="AA41" s="1649" t="str">
        <f>IF('1 System specification'!AH288=0,"-",'1 System specification'!AH288)</f>
        <v>-</v>
      </c>
      <c r="AB41" s="1350"/>
      <c r="AC41" s="1350"/>
      <c r="AD41" s="1350"/>
      <c r="AS41" s="1649" t="str">
        <f>IF('1 System specification'!BX288=0,"-",'1 System specification'!BX288)</f>
        <v>-</v>
      </c>
      <c r="AT41" s="1350"/>
      <c r="AU41" s="1350"/>
      <c r="AV41" s="1350"/>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Raffreddamento con il free-cooling</v>
      </c>
      <c r="U42" s="27" t="s">
        <v>20</v>
      </c>
      <c r="AA42" s="1649" t="str">
        <f>IF('1 System specification'!AO288=0,"-",'1 System specification'!AO288)</f>
        <v>-</v>
      </c>
      <c r="AB42" s="1350"/>
      <c r="AC42" s="1350"/>
      <c r="AD42" s="1350"/>
      <c r="AS42" s="1649" t="str">
        <f>IF('1 System specification'!CE288=0,"-",'1 System specification'!CE288)</f>
        <v>-</v>
      </c>
      <c r="AT42" s="1350"/>
      <c r="AU42" s="1350"/>
      <c r="AV42" s="1350"/>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Fabbisogno elettricità</v>
      </c>
      <c r="U44" s="27" t="s">
        <v>20</v>
      </c>
      <c r="AA44" s="1649" t="str">
        <f>IF('1 System specification'!AA267=0,"-",'1 System specification'!AA267)</f>
        <v>-</v>
      </c>
      <c r="AB44" s="1350"/>
      <c r="AC44" s="1350"/>
      <c r="AD44" s="1350"/>
      <c r="AS44" s="1649" t="str">
        <f>IF('1 System specification'!BR267=0,"-",'1 System specification'!BR267)</f>
        <v>-</v>
      </c>
      <c r="AT44" s="1350"/>
      <c r="AU44" s="1350"/>
      <c r="AV44" s="1350"/>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Fondamenti dei dati sulla domanda di elettricità</v>
      </c>
      <c r="AB45" s="309"/>
      <c r="AC45" s="309"/>
      <c r="AD45" s="309"/>
      <c r="AE45" s="309"/>
      <c r="AF45" s="1522" t="str">
        <f>'1 System specification'!AH267</f>
        <v>Calcolo con il tool del freddo</v>
      </c>
      <c r="AG45" s="1522"/>
      <c r="AH45" s="1522"/>
      <c r="AI45" s="1522"/>
      <c r="AJ45" s="1522"/>
      <c r="AK45" s="1522"/>
      <c r="AL45" s="1522"/>
      <c r="AM45" s="1522"/>
      <c r="AN45" s="1522"/>
      <c r="AO45" s="1522"/>
      <c r="AP45" s="309"/>
      <c r="AT45" s="438"/>
      <c r="AU45" s="438"/>
      <c r="AV45" s="438"/>
      <c r="AW45" s="438"/>
      <c r="AX45" s="1522" t="str">
        <f>'1 System specification'!BX267</f>
        <v>Calcolo con il tool del freddo</v>
      </c>
      <c r="AY45" s="1522"/>
      <c r="AZ45" s="1522"/>
      <c r="BA45" s="1522"/>
      <c r="BB45" s="1522"/>
      <c r="BC45" s="1522"/>
      <c r="BD45" s="1522"/>
      <c r="BE45" s="1522"/>
      <c r="BF45" s="1522"/>
      <c r="BG45" s="1522"/>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Calore utilizzato</v>
      </c>
      <c r="U47" t="s">
        <v>20</v>
      </c>
      <c r="AA47" s="1300">
        <f>'1 System specification'!AA302</f>
        <v>0</v>
      </c>
      <c r="AB47" s="1301"/>
      <c r="AC47" s="1301"/>
      <c r="AD47" s="1301"/>
      <c r="AS47" s="1300">
        <f>'1 System specification'!BR302</f>
        <v>0</v>
      </c>
      <c r="AT47" s="1301"/>
      <c r="AU47" s="1301"/>
      <c r="AV47" s="1301"/>
      <c r="BI47" s="47"/>
    </row>
    <row r="48" spans="1:156" s="168" customFormat="1" ht="32" customHeight="1" x14ac:dyDescent="0.15">
      <c r="A48" s="782"/>
      <c r="C48" s="307"/>
      <c r="F48" s="1697" t="str">
        <f>X!C388</f>
        <v>Il recupero del calore sostituisce il calore di...</v>
      </c>
      <c r="G48" s="1697"/>
      <c r="H48" s="1697"/>
      <c r="I48" s="1697"/>
      <c r="J48" s="1697"/>
      <c r="K48" s="1697"/>
      <c r="L48" s="1697"/>
      <c r="M48" s="1697"/>
      <c r="N48" s="1697"/>
      <c r="O48" s="1697"/>
      <c r="P48" s="1697"/>
      <c r="Q48" s="1697"/>
      <c r="R48" s="1697"/>
      <c r="S48" s="1697"/>
      <c r="Z48" s="775">
        <f>'2A Electricity regular'!AB114</f>
        <v>0</v>
      </c>
      <c r="AB48" s="776"/>
      <c r="AC48" s="776"/>
      <c r="AD48" s="776"/>
      <c r="AE48" s="776"/>
      <c r="AF48" s="1717" t="str">
        <f>IF(AA47&gt;1,IF('3 TEWI'!Z52="",X!C470,'3 TEWI'!Z52),"")</f>
        <v/>
      </c>
      <c r="AG48" s="1717"/>
      <c r="AH48" s="1717"/>
      <c r="AI48" s="1717"/>
      <c r="AJ48" s="1717"/>
      <c r="AK48" s="1717"/>
      <c r="AL48" s="1717"/>
      <c r="AM48" s="1717"/>
      <c r="AN48" s="1717"/>
      <c r="AO48" s="1717"/>
      <c r="AT48" s="776"/>
      <c r="AU48" s="776"/>
      <c r="AV48" s="776"/>
      <c r="AW48" s="776"/>
      <c r="AX48" s="1717" t="str">
        <f>IF(AS47&gt;1,IF('3 TEWI'!AS52="",X!C470,'3 TEWI'!AS52),"")</f>
        <v/>
      </c>
      <c r="AY48" s="1717"/>
      <c r="AZ48" s="1717"/>
      <c r="BA48" s="1717"/>
      <c r="BB48" s="1717"/>
      <c r="BC48" s="1717"/>
      <c r="BD48" s="1717"/>
      <c r="BE48" s="1717"/>
      <c r="BF48" s="1717"/>
      <c r="BG48" s="1717"/>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Efficienza energetica</v>
      </c>
      <c r="AA50" s="175"/>
      <c r="AB50" s="70"/>
      <c r="AC50" s="70"/>
      <c r="AD50" s="70"/>
      <c r="AS50" s="175"/>
      <c r="AT50" s="70"/>
      <c r="AU50" s="70"/>
      <c r="AV50" s="70"/>
      <c r="BI50" s="47"/>
    </row>
    <row r="51" spans="1:156" ht="16" customHeight="1" x14ac:dyDescent="0.15">
      <c r="C51" s="44"/>
      <c r="E51" s="409"/>
      <c r="F51" t="str">
        <f>X!C328</f>
        <v>Indice di efficienza energetica (freddo)</v>
      </c>
      <c r="U51" t="s">
        <v>15</v>
      </c>
      <c r="AA51" s="1304" t="str">
        <f>IF('1 System specification'!AA281=0,"-",'1 System specification'!AA281)</f>
        <v>-</v>
      </c>
      <c r="AB51" s="1304"/>
      <c r="AC51" s="1304"/>
      <c r="AD51" s="1304"/>
      <c r="AE51" s="171"/>
      <c r="AS51" s="1304" t="str">
        <f>IF('1 System specification'!BR281=0,"-",'1 System specification'!BR281)</f>
        <v>-</v>
      </c>
      <c r="AT51" s="1304"/>
      <c r="AU51" s="1304"/>
      <c r="AV51" s="1304"/>
      <c r="AW51" s="171"/>
      <c r="BI51" s="47"/>
    </row>
    <row r="52" spans="1:156" ht="16" customHeight="1" x14ac:dyDescent="0.15">
      <c r="C52" s="44"/>
      <c r="E52" s="409"/>
      <c r="F52" t="str">
        <f>X!C332</f>
        <v>Indice di efficienza energetica (calore)</v>
      </c>
      <c r="U52" t="s">
        <v>15</v>
      </c>
      <c r="AA52" s="1304" t="str">
        <f>IF('1 System specification'!AH281=0,"-",'1 System specification'!AH281)</f>
        <v>--</v>
      </c>
      <c r="AB52" s="1304"/>
      <c r="AC52" s="1304"/>
      <c r="AD52" s="1304"/>
      <c r="AE52" s="171"/>
      <c r="AS52" s="1304" t="str">
        <f>IF('1 System specification'!BY281=0,"-",'1 System specification'!BY281)</f>
        <v>--</v>
      </c>
      <c r="AT52" s="1304"/>
      <c r="AU52" s="1304"/>
      <c r="AV52" s="1304"/>
      <c r="AW52" s="171"/>
      <c r="BI52" s="47"/>
    </row>
    <row r="53" spans="1:156" ht="16" customHeight="1" x14ac:dyDescent="0.15">
      <c r="C53" s="44"/>
      <c r="E53" s="409"/>
      <c r="F53" t="str">
        <f>X!C337</f>
        <v>Indice di efficienza energetica (calore + freddo)</v>
      </c>
      <c r="U53" t="s">
        <v>15</v>
      </c>
      <c r="AA53" s="1304" t="str">
        <f>IF('1 System specification'!AO281=0,"-",'1 System specification'!AO281)</f>
        <v>-</v>
      </c>
      <c r="AB53" s="1304"/>
      <c r="AC53" s="1304"/>
      <c r="AD53" s="1304"/>
      <c r="AE53" s="171"/>
      <c r="AS53" s="1304" t="str">
        <f>IF('1 System specification'!CF281=0,"-",'1 System specification'!CF281)</f>
        <v>-</v>
      </c>
      <c r="AT53" s="1304"/>
      <c r="AU53" s="1304"/>
      <c r="AV53" s="1304"/>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Osservazioni</v>
      </c>
      <c r="F56" s="308"/>
      <c r="G56" s="308"/>
      <c r="H56" s="308"/>
      <c r="I56" s="308"/>
      <c r="J56" s="308"/>
      <c r="K56" s="308"/>
      <c r="L56" s="308"/>
      <c r="M56" s="308"/>
      <c r="N56" s="308"/>
      <c r="O56" s="308"/>
      <c r="P56" s="308"/>
      <c r="Q56" s="308"/>
      <c r="R56" s="308"/>
      <c r="S56" s="308"/>
      <c r="T56" s="308"/>
      <c r="U56" s="308"/>
      <c r="V56" s="308"/>
      <c r="W56" s="308"/>
      <c r="AA56" s="1710" t="str">
        <f>'1 System specification'!AU267</f>
        <v/>
      </c>
      <c r="AB56" s="1710"/>
      <c r="AC56" s="1710"/>
      <c r="AD56" s="1710"/>
      <c r="AE56" s="1710"/>
      <c r="AF56" s="1710"/>
      <c r="AG56" s="1710"/>
      <c r="AH56" s="1710"/>
      <c r="AI56" s="1710"/>
      <c r="AJ56" s="1710"/>
      <c r="AK56" s="1710"/>
      <c r="AL56" s="1710"/>
      <c r="AM56" s="1710"/>
      <c r="AN56" s="1710"/>
      <c r="AO56" s="1710"/>
      <c r="AP56" s="309"/>
      <c r="AS56" s="1718" t="str">
        <f>'1 System specification'!CF267</f>
        <v/>
      </c>
      <c r="AT56" s="1718"/>
      <c r="AU56" s="1718"/>
      <c r="AV56" s="1718"/>
      <c r="AW56" s="1718"/>
      <c r="AX56" s="1718"/>
      <c r="AY56" s="1718"/>
      <c r="AZ56" s="1718"/>
      <c r="BA56" s="1718"/>
      <c r="BB56" s="1718"/>
      <c r="BC56" s="1718"/>
      <c r="BD56" s="1718"/>
      <c r="BE56" s="1718"/>
      <c r="BF56" s="1718"/>
      <c r="BG56" s="1718"/>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Carico rilevante per il clima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Refrigerante</v>
      </c>
      <c r="U60" t="s">
        <v>15</v>
      </c>
      <c r="AF60" s="1701" t="str">
        <f>IF('3 TEWI'!Z33=0,"",'3 TEWI'!Z33)</f>
        <v/>
      </c>
      <c r="AG60" s="1701"/>
      <c r="AH60" s="1701"/>
      <c r="AI60" s="1701"/>
      <c r="AJ60" s="1701"/>
      <c r="AK60" s="1701"/>
      <c r="AL60" s="1701"/>
      <c r="AM60" s="1701"/>
      <c r="AN60" s="1701"/>
      <c r="AO60" s="1701"/>
      <c r="AP60" s="161"/>
      <c r="AX60" s="1698" t="str">
        <f>IF('3 TEWI'!AS33=0,"",'3 TEWI'!AS33)</f>
        <v/>
      </c>
      <c r="AY60" s="1698"/>
      <c r="AZ60" s="1698"/>
      <c r="BA60" s="1698"/>
      <c r="BB60" s="1698"/>
      <c r="BC60" s="1698"/>
      <c r="BD60" s="1698"/>
      <c r="BE60" s="1698"/>
      <c r="BF60" s="1698"/>
      <c r="BG60" s="1698"/>
      <c r="BI60" s="47"/>
    </row>
    <row r="61" spans="1:156" s="27" customFormat="1" ht="17" customHeight="1" x14ac:dyDescent="0.15">
      <c r="A61" s="201"/>
      <c r="C61" s="48"/>
      <c r="E61" s="416" t="str">
        <f>'3 TEWI'!D38</f>
        <v>Carica di riemplemento dell'impianto</v>
      </c>
      <c r="U61" s="27" t="str">
        <f>'3 TEWI'!S38</f>
        <v>kg</v>
      </c>
      <c r="AA61" s="1300">
        <f>'3 TEWI'!Z38</f>
        <v>0</v>
      </c>
      <c r="AB61" s="1301"/>
      <c r="AC61" s="1301"/>
      <c r="AD61" s="1301"/>
      <c r="AE61" s="161"/>
      <c r="AF61" s="161"/>
      <c r="AG61" s="161"/>
      <c r="AH61" s="161"/>
      <c r="AI61" s="161"/>
      <c r="AJ61" s="161"/>
      <c r="AK61" s="161"/>
      <c r="AL61" s="161"/>
      <c r="AM61" s="161"/>
      <c r="AN61" s="161"/>
      <c r="AO61" s="161"/>
      <c r="AP61" s="161"/>
      <c r="AS61" s="1300">
        <f>'3 TEWI'!AS38</f>
        <v>0</v>
      </c>
      <c r="AT61" s="1301"/>
      <c r="AU61" s="1301"/>
      <c r="AV61" s="1301"/>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Mix energetico</v>
      </c>
      <c r="U62" s="383" t="s">
        <v>15</v>
      </c>
      <c r="AF62" s="1222" t="str">
        <f>IF('3 TEWI'!Z41=0,"",'3 TEWI'!Z41)</f>
        <v/>
      </c>
      <c r="AG62" s="1222"/>
      <c r="AH62" s="1222"/>
      <c r="AI62" s="1222"/>
      <c r="AJ62" s="1222"/>
      <c r="AK62" s="1222"/>
      <c r="AL62" s="1222"/>
      <c r="AM62" s="1222"/>
      <c r="AN62" s="1222"/>
      <c r="AO62" s="1222"/>
      <c r="AT62" s="168"/>
      <c r="AU62" s="168"/>
      <c r="AV62" s="168"/>
      <c r="AW62" s="168"/>
      <c r="AX62" s="1222" t="str">
        <f>IF('3 TEWI'!AS41=0,"",'3 TEWI'!AS41)</f>
        <v/>
      </c>
      <c r="AY62" s="1222"/>
      <c r="AZ62" s="1222"/>
      <c r="BA62" s="1222"/>
      <c r="BB62" s="1222"/>
      <c r="BC62" s="1222"/>
      <c r="BD62" s="1222"/>
      <c r="BE62" s="1222"/>
      <c r="BF62" s="1222"/>
      <c r="BG62" s="1222"/>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Durata di vita dell'impianto</v>
      </c>
      <c r="S63" s="416"/>
      <c r="U63" s="416" t="str">
        <f>X!$C$131</f>
        <v>Anni</v>
      </c>
      <c r="AA63" s="1300" t="str">
        <f>IF('3 TEWI'!AA80=0,"",'3 TEWI'!AA80)</f>
        <v/>
      </c>
      <c r="AB63" s="1301"/>
      <c r="AC63" s="1301"/>
      <c r="AD63" s="1301"/>
      <c r="AE63" s="259"/>
      <c r="AF63" s="259"/>
      <c r="AG63" s="259"/>
      <c r="AH63" s="259"/>
      <c r="AI63" s="259"/>
      <c r="AJ63" s="259"/>
      <c r="AK63" s="259"/>
      <c r="AM63" s="93"/>
      <c r="AS63" s="1300" t="str">
        <f>IF('3 TEWI'!AT80=0,"",'3 TEWI'!AT80)</f>
        <v/>
      </c>
      <c r="AT63" s="1301"/>
      <c r="AU63" s="1301"/>
      <c r="AV63" s="1301"/>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Emissioni di CO2 all'anno</v>
      </c>
      <c r="F64" s="332"/>
      <c r="G64" s="332"/>
      <c r="H64" s="332"/>
      <c r="I64" s="332"/>
      <c r="J64" s="332"/>
      <c r="K64" s="332"/>
      <c r="L64" s="332"/>
      <c r="M64" s="332"/>
      <c r="N64" s="332"/>
      <c r="O64" s="332"/>
      <c r="P64" s="332"/>
      <c r="Q64" s="332"/>
      <c r="R64" s="332"/>
      <c r="S64" s="332"/>
      <c r="T64" s="332"/>
      <c r="U64" s="332" t="s">
        <v>242</v>
      </c>
      <c r="V64" s="332"/>
      <c r="W64" s="332"/>
      <c r="AA64" s="1715">
        <f>'3 TEWI'!AA83</f>
        <v>0</v>
      </c>
      <c r="AB64" s="1715"/>
      <c r="AC64" s="1715"/>
      <c r="AD64" s="1715"/>
      <c r="AE64" s="332"/>
      <c r="AF64" s="332"/>
      <c r="AG64" s="332"/>
      <c r="AH64" s="332"/>
      <c r="AI64" s="332"/>
      <c r="AJ64" s="332"/>
      <c r="AK64" s="332"/>
      <c r="AL64" s="332"/>
      <c r="AM64" s="332"/>
      <c r="AN64" s="332"/>
      <c r="AO64" s="332"/>
      <c r="AS64" s="1715">
        <f>'3 TEWI'!AT83</f>
        <v>0</v>
      </c>
      <c r="AT64" s="1715"/>
      <c r="AU64" s="1715"/>
      <c r="AV64" s="1715"/>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Economicità</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Spese d'investimento</v>
      </c>
      <c r="F69" s="124"/>
      <c r="G69" s="124"/>
      <c r="H69" s="124"/>
      <c r="I69" s="124"/>
      <c r="J69" s="124"/>
      <c r="K69" s="124"/>
      <c r="L69" s="124"/>
      <c r="M69" s="124"/>
      <c r="N69" s="124"/>
      <c r="O69" s="124"/>
      <c r="P69" s="124"/>
      <c r="Q69" s="124"/>
      <c r="R69" s="124"/>
      <c r="S69" s="124"/>
      <c r="T69" s="124"/>
      <c r="U69" s="124" t="s">
        <v>209</v>
      </c>
      <c r="V69" s="124"/>
      <c r="W69" s="124"/>
      <c r="X69" s="124"/>
      <c r="Y69" s="124"/>
      <c r="Z69" s="124"/>
      <c r="AA69" s="1664">
        <f>'4 Economics'!AA37</f>
        <v>0</v>
      </c>
      <c r="AB69" s="1664"/>
      <c r="AC69" s="1664"/>
      <c r="AD69" s="1664"/>
      <c r="AE69" s="124"/>
      <c r="AF69" s="124"/>
      <c r="AG69" s="124"/>
      <c r="AH69" s="124"/>
      <c r="AI69" s="124"/>
      <c r="AJ69" s="124"/>
      <c r="AK69" s="124"/>
      <c r="AL69" s="124"/>
      <c r="AM69" s="124"/>
      <c r="AN69" s="124"/>
      <c r="AO69" s="124"/>
      <c r="AP69" s="124"/>
      <c r="AQ69" s="124"/>
      <c r="AR69" s="124"/>
      <c r="AS69" s="1664">
        <f>'4 Economics'!AS37</f>
        <v>0</v>
      </c>
      <c r="AT69" s="1664"/>
      <c r="AU69" s="1664"/>
      <c r="AV69" s="1664"/>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Prezzo elettricità</v>
      </c>
      <c r="U71" t="str">
        <f>X!C294</f>
        <v>ct./kWh</v>
      </c>
      <c r="AA71" s="1304">
        <f>'4 Economics'!AA39</f>
        <v>0</v>
      </c>
      <c r="AB71" s="1304"/>
      <c r="AC71" s="1304"/>
      <c r="AD71" s="1304"/>
      <c r="AS71" s="1304">
        <f>'4 Economics'!AS39</f>
        <v>0</v>
      </c>
      <c r="AT71" s="1304"/>
      <c r="AU71" s="1304"/>
      <c r="AV71" s="1304"/>
      <c r="BI71" s="47"/>
    </row>
    <row r="72" spans="1:156" ht="16" customHeight="1" x14ac:dyDescent="0.15">
      <c r="C72" s="44"/>
      <c r="E72" s="409" t="str">
        <f>'4 Economics'!D74</f>
        <v/>
      </c>
      <c r="U72" t="str">
        <f>'4 Economics'!S74</f>
        <v>Rp./kWh</v>
      </c>
      <c r="AA72" s="1304">
        <f>'4 Economics'!AA74</f>
        <v>0</v>
      </c>
      <c r="AB72" s="1304"/>
      <c r="AC72" s="1304"/>
      <c r="AD72" s="1304"/>
      <c r="AS72" s="1304">
        <f>AA72</f>
        <v>0</v>
      </c>
      <c r="AT72" s="1304"/>
      <c r="AU72" s="1304"/>
      <c r="AV72" s="1304"/>
      <c r="BI72" s="47"/>
      <c r="BO72" s="781">
        <f>'4 Economics'!BO47</f>
        <v>0</v>
      </c>
      <c r="BP72" s="201"/>
      <c r="BQ72" s="201" t="s">
        <v>1018</v>
      </c>
    </row>
    <row r="73" spans="1:156" ht="15" customHeight="1" x14ac:dyDescent="0.15">
      <c r="C73" s="44"/>
      <c r="BI73" s="47"/>
    </row>
    <row r="74" spans="1:156" ht="16" customHeight="1" x14ac:dyDescent="0.15">
      <c r="C74" s="44"/>
      <c r="E74" s="409" t="str">
        <f>X!$C$128</f>
        <v>Spese d'investimento</v>
      </c>
      <c r="U74" t="s">
        <v>46</v>
      </c>
      <c r="AA74" s="1703" t="str">
        <f>'4 Economics'!AA82</f>
        <v>-</v>
      </c>
      <c r="AB74" s="1703"/>
      <c r="AC74" s="1703"/>
      <c r="AD74" s="1703"/>
      <c r="AS74" s="1703" t="str">
        <f>'4 Economics'!AS82</f>
        <v>-</v>
      </c>
      <c r="AT74" s="1703"/>
      <c r="AU74" s="1703"/>
      <c r="AV74" s="1703"/>
      <c r="BI74" s="47"/>
    </row>
    <row r="75" spans="1:156" ht="16" customHeight="1" x14ac:dyDescent="0.15">
      <c r="C75" s="44"/>
      <c r="E75" s="409" t="str">
        <f>X!$C$237</f>
        <v>Spese di manutenzione</v>
      </c>
      <c r="U75" t="s">
        <v>46</v>
      </c>
      <c r="AA75" s="1703" t="str">
        <f>'4 Economics'!AA89</f>
        <v>-</v>
      </c>
      <c r="AB75" s="1703"/>
      <c r="AC75" s="1703"/>
      <c r="AD75" s="1703"/>
      <c r="AS75" s="1703" t="str">
        <f>'4 Economics'!AS89</f>
        <v>-</v>
      </c>
      <c r="AT75" s="1703"/>
      <c r="AU75" s="1703"/>
      <c r="AV75" s="1703"/>
      <c r="BI75" s="47"/>
      <c r="BJ75" s="1716" t="str">
        <f>X!C463</f>
        <v>Concezione e programmazione: zweiweg gmbh, Zurigo</v>
      </c>
    </row>
    <row r="76" spans="1:156" ht="16" customHeight="1" x14ac:dyDescent="0.15">
      <c r="C76" s="44"/>
      <c r="E76" s="409" t="str">
        <f>X!$C$97</f>
        <v>Costi energetici</v>
      </c>
      <c r="U76" t="s">
        <v>46</v>
      </c>
      <c r="X76" s="437" t="s">
        <v>266</v>
      </c>
      <c r="Y76" s="437" t="s">
        <v>266</v>
      </c>
      <c r="Z76" s="437" t="s">
        <v>266</v>
      </c>
      <c r="AA76" s="1703" t="str">
        <f>'4 Economics'!AA95</f>
        <v>-</v>
      </c>
      <c r="AB76" s="1703"/>
      <c r="AC76" s="1703"/>
      <c r="AD76" s="1703"/>
      <c r="AS76" s="1703" t="str">
        <f>'4 Economics'!AS95</f>
        <v>-</v>
      </c>
      <c r="AT76" s="1703"/>
      <c r="AU76" s="1703"/>
      <c r="AV76" s="1703"/>
      <c r="AX76" s="437"/>
      <c r="AY76" s="437"/>
      <c r="AZ76" s="437"/>
      <c r="BI76" s="47"/>
      <c r="BJ76" s="1716"/>
    </row>
    <row r="77" spans="1:156" ht="16" customHeight="1" x14ac:dyDescent="0.15">
      <c r="C77" s="44"/>
      <c r="E77" s="409"/>
      <c r="F77" t="str">
        <f>X!C394</f>
        <v>Il free-cooling riduce i costi energetici di</v>
      </c>
      <c r="U77" t="s">
        <v>46</v>
      </c>
      <c r="AA77" s="1703" t="str">
        <f>'4 Economics'!AA103</f>
        <v>-</v>
      </c>
      <c r="AB77" s="1703"/>
      <c r="AC77" s="1703"/>
      <c r="AD77" s="1703"/>
      <c r="AF77" s="717"/>
      <c r="AG77" s="717"/>
      <c r="AH77" s="717"/>
      <c r="AI77" s="717"/>
      <c r="AJ77" s="717"/>
      <c r="AK77" s="717"/>
      <c r="AL77" s="717"/>
      <c r="AM77" s="717"/>
      <c r="AN77" s="717"/>
      <c r="AO77" s="717"/>
      <c r="AS77" s="1703" t="str">
        <f>'4 Economics'!AS103</f>
        <v>-</v>
      </c>
      <c r="AT77" s="1703"/>
      <c r="AU77" s="1703"/>
      <c r="AV77" s="1703"/>
      <c r="AX77" s="717"/>
      <c r="AY77" s="717"/>
      <c r="AZ77" s="717"/>
      <c r="BA77" s="717"/>
      <c r="BB77" s="717"/>
      <c r="BC77" s="717"/>
      <c r="BD77" s="717"/>
      <c r="BE77" s="717"/>
      <c r="BF77" s="717"/>
      <c r="BG77" s="717"/>
      <c r="BI77" s="47"/>
      <c r="BJ77" s="1716"/>
    </row>
    <row r="78" spans="1:156" ht="16" customHeight="1" x14ac:dyDescent="0.15">
      <c r="C78" s="44"/>
      <c r="E78" s="409" t="str">
        <f>'4 Economics'!E112</f>
        <v>Risparmio grazie al recupero del calore</v>
      </c>
      <c r="U78" t="s">
        <v>46</v>
      </c>
      <c r="AA78" s="1703" t="str">
        <f>'4 Economics'!AA112</f>
        <v>-</v>
      </c>
      <c r="AB78" s="1703"/>
      <c r="AC78" s="1703"/>
      <c r="AD78" s="1703"/>
      <c r="AS78" s="1703" t="str">
        <f>'4 Economics'!AS112</f>
        <v>-</v>
      </c>
      <c r="AT78" s="1703"/>
      <c r="AU78" s="1703"/>
      <c r="AV78" s="1703"/>
      <c r="BI78" s="47"/>
      <c r="BJ78" s="1716"/>
    </row>
    <row r="79" spans="1:156" s="179" customFormat="1" ht="19" customHeight="1" x14ac:dyDescent="0.15">
      <c r="A79" s="62"/>
      <c r="C79" s="311"/>
      <c r="E79" s="431" t="str">
        <f>X!$C$132</f>
        <v>Costi annui</v>
      </c>
      <c r="F79" s="332"/>
      <c r="G79" s="332"/>
      <c r="H79" s="332"/>
      <c r="I79" s="332"/>
      <c r="J79" s="332"/>
      <c r="K79" s="332"/>
      <c r="L79" s="332"/>
      <c r="M79" s="332"/>
      <c r="N79" s="332"/>
      <c r="O79" s="332"/>
      <c r="P79" s="332"/>
      <c r="Q79" s="332"/>
      <c r="R79" s="332"/>
      <c r="S79" s="332"/>
      <c r="T79" s="332"/>
      <c r="U79" s="332" t="s">
        <v>46</v>
      </c>
      <c r="V79" s="332"/>
      <c r="W79" s="332"/>
      <c r="AA79" s="1708" t="str">
        <f>'4 Economics'!AA115</f>
        <v>-</v>
      </c>
      <c r="AB79" s="1708"/>
      <c r="AC79" s="1708"/>
      <c r="AD79" s="1708"/>
      <c r="AE79" s="332"/>
      <c r="AF79" s="332"/>
      <c r="AG79" s="332"/>
      <c r="AH79" s="332"/>
      <c r="AI79" s="332"/>
      <c r="AJ79" s="332"/>
      <c r="AK79" s="332"/>
      <c r="AL79" s="332"/>
      <c r="AM79" s="332"/>
      <c r="AN79" s="332"/>
      <c r="AO79" s="332"/>
      <c r="AS79" s="1708" t="str">
        <f>'4 Economics'!AS115</f>
        <v>-</v>
      </c>
      <c r="AT79" s="1708"/>
      <c r="AU79" s="1708"/>
      <c r="AV79" s="1708"/>
      <c r="AW79" s="332"/>
      <c r="AX79" s="332"/>
      <c r="AY79" s="332"/>
      <c r="AZ79" s="332"/>
      <c r="BA79" s="332"/>
      <c r="BB79" s="332"/>
      <c r="BC79" s="332"/>
      <c r="BD79" s="332"/>
      <c r="BE79" s="332"/>
      <c r="BF79" s="332"/>
      <c r="BG79" s="332"/>
      <c r="BI79" s="312"/>
      <c r="BJ79" s="1716"/>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716"/>
    </row>
    <row r="81" spans="1:156" ht="28" hidden="1" customHeight="1" outlineLevel="1" x14ac:dyDescent="0.15">
      <c r="C81" s="44"/>
      <c r="E81" s="695" t="str">
        <f>'3 TEWI'!D43</f>
        <v>Tipo di compensazione del CO2</v>
      </c>
      <c r="U81" s="168"/>
      <c r="AB81" s="501"/>
      <c r="AC81" s="501"/>
      <c r="AD81" s="501"/>
      <c r="AE81" s="501"/>
      <c r="AP81" s="161"/>
      <c r="AT81" s="501"/>
      <c r="AU81" s="501"/>
      <c r="AV81" s="501"/>
      <c r="AW81" s="501"/>
      <c r="BH81" s="693"/>
      <c r="BI81" s="47"/>
      <c r="BJ81" s="1716"/>
    </row>
    <row r="82" spans="1:156" s="168" customFormat="1" ht="29" customHeight="1" collapsed="1" x14ac:dyDescent="0.15">
      <c r="A82" s="782"/>
      <c r="C82" s="307"/>
      <c r="E82" s="442" t="str">
        <f>X!C157</f>
        <v>Costi compensazione CO2</v>
      </c>
      <c r="U82" s="168" t="s">
        <v>46</v>
      </c>
      <c r="AA82" s="1702" t="str">
        <f>'4 Economics'!AA126</f>
        <v>-</v>
      </c>
      <c r="AB82" s="1702"/>
      <c r="AC82" s="1702"/>
      <c r="AD82" s="1702"/>
      <c r="AF82" s="1700" t="str">
        <f>'3 TEWI'!AH270</f>
        <v>Compensazione con certificati esteri</v>
      </c>
      <c r="AG82" s="1700"/>
      <c r="AH82" s="1700"/>
      <c r="AI82" s="1700"/>
      <c r="AJ82" s="1700"/>
      <c r="AK82" s="1700"/>
      <c r="AL82" s="1700"/>
      <c r="AM82" s="1700"/>
      <c r="AN82" s="1700"/>
      <c r="AO82" s="1700"/>
      <c r="AS82" s="1702" t="str">
        <f>'4 Economics'!AS126</f>
        <v>-</v>
      </c>
      <c r="AT82" s="1702"/>
      <c r="AU82" s="1702"/>
      <c r="AV82" s="1702"/>
      <c r="AX82" s="1700" t="str">
        <f>'3 TEWI'!BA270</f>
        <v>Compensazione con certificati esteri</v>
      </c>
      <c r="AY82" s="1700"/>
      <c r="AZ82" s="1700"/>
      <c r="BA82" s="1700"/>
      <c r="BB82" s="1700"/>
      <c r="BC82" s="1700"/>
      <c r="BD82" s="1700"/>
      <c r="BE82" s="1700"/>
      <c r="BF82" s="1700"/>
      <c r="BG82" s="1700"/>
      <c r="BI82" s="310"/>
      <c r="BJ82" s="1716"/>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Costi annui (funzionamento con CO2 neutro)</v>
      </c>
      <c r="F83" s="331"/>
      <c r="G83" s="331"/>
      <c r="H83" s="331"/>
      <c r="I83" s="331"/>
      <c r="J83" s="331"/>
      <c r="K83" s="331"/>
      <c r="L83" s="331"/>
      <c r="M83" s="331"/>
      <c r="N83" s="331"/>
      <c r="O83" s="331"/>
      <c r="P83" s="331"/>
      <c r="Q83" s="331"/>
      <c r="R83" s="331"/>
      <c r="S83" s="331"/>
      <c r="T83" s="331"/>
      <c r="U83" s="331" t="s">
        <v>46</v>
      </c>
      <c r="V83" s="331"/>
      <c r="W83" s="331"/>
      <c r="X83" s="179"/>
      <c r="Y83" s="179"/>
      <c r="Z83" s="179"/>
      <c r="AA83" s="1709" t="str">
        <f>'4 Economics'!AA127</f>
        <v>-</v>
      </c>
      <c r="AB83" s="1709"/>
      <c r="AC83" s="1709"/>
      <c r="AD83" s="1709"/>
      <c r="AE83" s="331"/>
      <c r="AF83" s="331"/>
      <c r="AG83" s="331"/>
      <c r="AH83" s="331"/>
      <c r="AI83" s="331"/>
      <c r="AJ83" s="331"/>
      <c r="AK83" s="331"/>
      <c r="AL83" s="331"/>
      <c r="AM83" s="331"/>
      <c r="AN83" s="331"/>
      <c r="AO83" s="331"/>
      <c r="AP83" s="179"/>
      <c r="AQ83" s="179"/>
      <c r="AR83" s="179"/>
      <c r="AS83" s="1709" t="str">
        <f>'4 Economics'!AS127</f>
        <v>-</v>
      </c>
      <c r="AT83" s="1709"/>
      <c r="AU83" s="1709"/>
      <c r="AV83" s="1709"/>
      <c r="AW83" s="283"/>
      <c r="AX83" s="283"/>
      <c r="AY83" s="283"/>
      <c r="AZ83" s="283"/>
      <c r="BA83" s="283"/>
      <c r="BB83" s="283"/>
      <c r="BC83" s="283"/>
      <c r="BD83" s="283"/>
      <c r="BE83" s="283"/>
      <c r="BF83" s="283"/>
      <c r="BG83" s="283"/>
      <c r="BI83" s="47"/>
      <c r="BJ83" s="1716"/>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716"/>
    </row>
    <row r="85" spans="1:156" ht="18" customHeight="1" x14ac:dyDescent="0.15">
      <c r="C85" s="44"/>
      <c r="S85" s="27"/>
      <c r="U85" s="27"/>
      <c r="BI85" s="47"/>
      <c r="BJ85" s="1716"/>
    </row>
    <row r="86" spans="1:156" s="86" customFormat="1" ht="21" customHeight="1" x14ac:dyDescent="0.15">
      <c r="A86" s="779"/>
      <c r="C86" s="304"/>
      <c r="D86" s="401" t="str">
        <f>X!$C$170</f>
        <v>Costi del ciclo vitale (Life Cycle Cost LCC)</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716"/>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Costi del ciclo vitale</v>
      </c>
      <c r="U87" t="s">
        <v>209</v>
      </c>
      <c r="AA87" s="1703" t="str">
        <f>'4 Economics'!AA157</f>
        <v>-</v>
      </c>
      <c r="AB87" s="1703"/>
      <c r="AC87" s="1703"/>
      <c r="AD87" s="1703"/>
      <c r="AS87" s="1703" t="str">
        <f>'4 Economics'!AS157</f>
        <v>-</v>
      </c>
      <c r="AT87" s="1703"/>
      <c r="AU87" s="1703"/>
      <c r="AV87" s="1703"/>
      <c r="BI87" s="47"/>
      <c r="BJ87" s="1716"/>
    </row>
    <row r="88" spans="1:156" ht="21" customHeight="1" x14ac:dyDescent="0.15">
      <c r="C88" s="44"/>
      <c r="E88" s="1707" t="str">
        <f>X!$C$168</f>
        <v>Costi ciclo vitale con funzionamento con CO2 neutro</v>
      </c>
      <c r="F88" s="1707"/>
      <c r="G88" s="1707"/>
      <c r="H88" s="1707"/>
      <c r="I88" s="1707"/>
      <c r="J88" s="1707"/>
      <c r="K88" s="1707"/>
      <c r="L88" s="1707"/>
      <c r="M88" s="1707"/>
      <c r="N88" s="1707"/>
      <c r="O88" s="1707"/>
      <c r="P88" s="1707"/>
      <c r="Q88" s="1707"/>
      <c r="R88" s="1707"/>
      <c r="S88" s="1707"/>
      <c r="U88" t="s">
        <v>209</v>
      </c>
      <c r="AA88" s="1703" t="str">
        <f>'4 Economics'!AA169</f>
        <v>-</v>
      </c>
      <c r="AB88" s="1703"/>
      <c r="AC88" s="1703"/>
      <c r="AD88" s="1703"/>
      <c r="AS88" s="1703" t="str">
        <f>'4 Economics'!AS169</f>
        <v>-</v>
      </c>
      <c r="AT88" s="1703"/>
      <c r="AU88" s="1703"/>
      <c r="AV88" s="1703"/>
      <c r="BI88" s="47"/>
      <c r="BJ88" s="1716"/>
    </row>
    <row r="89" spans="1:156" ht="17" customHeight="1" x14ac:dyDescent="0.15">
      <c r="C89" s="44"/>
      <c r="AM89" s="71"/>
      <c r="BE89" s="71"/>
      <c r="BI89" s="47"/>
      <c r="BJ89" s="1716"/>
    </row>
    <row r="90" spans="1:156" ht="17" customHeight="1" x14ac:dyDescent="0.15">
      <c r="C90" s="44"/>
      <c r="AM90" s="71"/>
      <c r="BE90" s="71"/>
      <c r="BI90" s="47"/>
      <c r="BJ90" s="1716"/>
    </row>
    <row r="91" spans="1:156" s="86" customFormat="1" ht="21" customHeight="1" x14ac:dyDescent="0.15">
      <c r="A91" s="779"/>
      <c r="C91" s="304"/>
      <c r="D91" s="401" t="str">
        <f>E56</f>
        <v>Osservazioni</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716"/>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300" t="str">
        <f>IF('1 System specification'!AA338=0,"",'1 System specification'!AA338)</f>
        <v/>
      </c>
      <c r="AB92" s="1301"/>
      <c r="AC92" s="1301"/>
      <c r="AD92" s="1301"/>
      <c r="AS92" s="1300" t="str">
        <f>IF('1 System specification'!BR338=0,"",'1 System specification'!BR338)</f>
        <v/>
      </c>
      <c r="AT92" s="1301"/>
      <c r="AU92" s="1301"/>
      <c r="AV92" s="1301"/>
      <c r="BI92" s="47"/>
      <c r="BJ92" s="1716"/>
      <c r="BO92" s="63" t="s">
        <v>1000</v>
      </c>
    </row>
    <row r="93" spans="1:156" ht="45" customHeight="1" x14ac:dyDescent="0.15">
      <c r="C93" s="44"/>
      <c r="D93" s="1253"/>
      <c r="E93" s="1253"/>
      <c r="F93" s="1253"/>
      <c r="G93" s="1253"/>
      <c r="H93" s="1253"/>
      <c r="I93" s="1253"/>
      <c r="J93" s="1253"/>
      <c r="K93" s="1253"/>
      <c r="L93" s="1253"/>
      <c r="M93" s="1253"/>
      <c r="N93" s="1253"/>
      <c r="O93" s="1253"/>
      <c r="P93" s="1253"/>
      <c r="Q93" s="1253"/>
      <c r="R93" s="1253"/>
      <c r="S93" s="1253"/>
      <c r="T93" s="1253"/>
      <c r="U93" s="1253"/>
      <c r="V93" s="1253"/>
      <c r="W93" s="1253"/>
      <c r="X93" s="1253"/>
      <c r="Y93" s="1253"/>
      <c r="Z93" s="1253"/>
      <c r="AA93" s="1253"/>
      <c r="AB93" s="1253"/>
      <c r="AC93" s="1253"/>
      <c r="AD93" s="1253"/>
      <c r="AE93" s="1253"/>
      <c r="AF93" s="1253"/>
      <c r="AG93" s="1253"/>
      <c r="AH93" s="1253"/>
      <c r="AI93" s="1253"/>
      <c r="AJ93" s="1253"/>
      <c r="AK93" s="1253"/>
      <c r="AL93" s="1253"/>
      <c r="AM93" s="1253"/>
      <c r="AN93" s="1253"/>
      <c r="AO93" s="1253"/>
      <c r="AP93" s="1253"/>
      <c r="AQ93" s="1253"/>
      <c r="AR93" s="1253"/>
      <c r="AS93" s="1253"/>
      <c r="AT93" s="1253"/>
      <c r="AU93" s="1253"/>
      <c r="AV93" s="1253"/>
      <c r="AW93" s="1253"/>
      <c r="AX93" s="1253"/>
      <c r="AY93" s="1253"/>
      <c r="AZ93" s="1253"/>
      <c r="BA93" s="1253"/>
      <c r="BB93" s="1253"/>
      <c r="BC93" s="1253"/>
      <c r="BD93" s="1253"/>
      <c r="BE93" s="1253"/>
      <c r="BF93" s="1253"/>
      <c r="BG93" s="1254"/>
      <c r="BH93" s="699"/>
      <c r="BI93" s="47"/>
      <c r="BJ93" s="1716"/>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716"/>
    </row>
    <row r="101" spans="50:58" x14ac:dyDescent="0.15">
      <c r="AX101" s="1711" t="str">
        <f>X!C291</f>
        <v>in alto</v>
      </c>
      <c r="AY101" s="1711"/>
      <c r="AZ101" s="1711"/>
      <c r="BA101" s="1711"/>
      <c r="BB101" s="1711"/>
      <c r="BC101" s="1711"/>
      <c r="BD101" s="1711"/>
      <c r="BE101" s="171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AA44:AD44"/>
    <mergeCell ref="AA51:AD51"/>
    <mergeCell ref="AA88:AD88"/>
    <mergeCell ref="AA82:AD82"/>
    <mergeCell ref="AA79:AD79"/>
    <mergeCell ref="AA56:AO56"/>
    <mergeCell ref="AA87:AD87"/>
    <mergeCell ref="AA72:AD72"/>
    <mergeCell ref="AA61:AD61"/>
    <mergeCell ref="AA71:AD71"/>
    <mergeCell ref="AA63:AD63"/>
    <mergeCell ref="AA69:AD69"/>
    <mergeCell ref="AS78:AV78"/>
    <mergeCell ref="AA76:AD76"/>
    <mergeCell ref="AS72:AV72"/>
    <mergeCell ref="E88:S88"/>
    <mergeCell ref="AS76:AV76"/>
    <mergeCell ref="AS79:AV79"/>
    <mergeCell ref="AS83:AV83"/>
    <mergeCell ref="AS75:AV75"/>
    <mergeCell ref="AA75:AD75"/>
    <mergeCell ref="AA78:AD78"/>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2025-06-16T13:47:21Z</dcterms:modified>
</cp:coreProperties>
</file>